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FAEE1E73-6B00-4415-B8BF-586ADA9028A8}" xr6:coauthVersionLast="47" xr6:coauthVersionMax="47" xr10:uidLastSave="{00000000-0000-0000-0000-000000000000}"/>
  <bookViews>
    <workbookView xWindow="-120" yWindow="-120" windowWidth="29040" windowHeight="15720" tabRatio="508" xr2:uid="{00000000-000D-0000-FFFF-FFFF00000000}"/>
  </bookViews>
  <sheets>
    <sheet name="Information" sheetId="57" r:id="rId1"/>
    <sheet name="No Rate DTS Reduction" sheetId="46" r:id="rId2"/>
    <sheet name="With Rate DTS Reduction" sheetId="54" r:id="rId3"/>
    <sheet name="No Rate DTS Reduction Calcs" sheetId="51" state="hidden" r:id="rId4"/>
    <sheet name="Rate DTS Reduction Calcs" sheetId="55" state="hidden" r:id="rId5"/>
    <sheet name="Rates Lookup" sheetId="43" state="hidden" r:id="rId6"/>
  </sheets>
  <externalReferences>
    <externalReference r:id="rId7"/>
  </externalReferences>
  <definedNames>
    <definedName name="AESOTariff">'Rates Lookup'!$C$1:$Y$1</definedName>
    <definedName name="Year_hours" localSheetId="0">[1]Lookup!$B$29:$C$34</definedName>
    <definedName name="Year_hours">'Rates Lookup'!$B$30:$C$35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54" l="1"/>
  <c r="I38" i="54"/>
  <c r="N38" i="54"/>
  <c r="R15" i="55"/>
  <c r="R15" i="51"/>
  <c r="R17" i="55"/>
  <c r="S22" i="55"/>
  <c r="R64" i="55"/>
  <c r="R63" i="55"/>
  <c r="R62" i="55"/>
  <c r="R61" i="55"/>
  <c r="R60" i="55"/>
  <c r="U56" i="55"/>
  <c r="T56" i="55"/>
  <c r="R56" i="55"/>
  <c r="V56" i="55" s="1"/>
  <c r="U55" i="55"/>
  <c r="R55" i="55"/>
  <c r="U53" i="55"/>
  <c r="R53" i="55"/>
  <c r="U51" i="55"/>
  <c r="R51" i="55"/>
  <c r="U49" i="55"/>
  <c r="U45" i="55"/>
  <c r="R45" i="55"/>
  <c r="U44" i="55"/>
  <c r="R44" i="55"/>
  <c r="U43" i="55"/>
  <c r="R43" i="55"/>
  <c r="U42" i="55"/>
  <c r="R42" i="55"/>
  <c r="R41" i="55"/>
  <c r="U39" i="55"/>
  <c r="U63" i="55" s="1"/>
  <c r="R39" i="55"/>
  <c r="U38" i="55"/>
  <c r="R38" i="55"/>
  <c r="U36" i="55"/>
  <c r="R36" i="55"/>
  <c r="U35" i="55"/>
  <c r="R35" i="55"/>
  <c r="M13" i="46"/>
  <c r="P12" i="46"/>
  <c r="P12" i="54"/>
  <c r="O13" i="46"/>
  <c r="K37" i="54"/>
  <c r="R35" i="46"/>
  <c r="L29" i="55"/>
  <c r="M25" i="55"/>
  <c r="L17" i="55"/>
  <c r="M16" i="55"/>
  <c r="G22" i="55"/>
  <c r="H21" i="55"/>
  <c r="H20" i="55"/>
  <c r="G16" i="55"/>
  <c r="S16" i="55" s="1"/>
  <c r="T16" i="55" s="1"/>
  <c r="H13" i="55"/>
  <c r="L29" i="51"/>
  <c r="L17" i="51"/>
  <c r="M25" i="51"/>
  <c r="M16" i="51"/>
  <c r="M14" i="51" s="1"/>
  <c r="N14" i="51" s="1"/>
  <c r="G22" i="51"/>
  <c r="H21" i="51"/>
  <c r="H20" i="51"/>
  <c r="G16" i="51"/>
  <c r="G14" i="51" s="1"/>
  <c r="H14" i="51" s="1"/>
  <c r="H13" i="51"/>
  <c r="S14" i="55" l="1"/>
  <c r="U62" i="55"/>
  <c r="U64" i="55"/>
  <c r="U61" i="55"/>
  <c r="N16" i="51"/>
  <c r="N18" i="51" s="1"/>
  <c r="M18" i="51" s="1"/>
  <c r="T14" i="55" l="1"/>
  <c r="M13" i="54"/>
  <c r="M15" i="55" s="1"/>
  <c r="T18" i="55" l="1"/>
  <c r="T38" i="55" s="1"/>
  <c r="V38" i="55" s="1"/>
  <c r="T55" i="55"/>
  <c r="V55" i="55" s="1"/>
  <c r="I95" i="55"/>
  <c r="G95" i="55"/>
  <c r="O89" i="55"/>
  <c r="O81" i="55"/>
  <c r="E81" i="55"/>
  <c r="O76" i="55"/>
  <c r="L76" i="55"/>
  <c r="O75" i="55"/>
  <c r="O73" i="55"/>
  <c r="L73" i="55"/>
  <c r="O72" i="55"/>
  <c r="F64" i="55"/>
  <c r="L64" i="55" s="1"/>
  <c r="L63" i="55"/>
  <c r="F63" i="55"/>
  <c r="F62" i="55"/>
  <c r="L62" i="55" s="1"/>
  <c r="F61" i="55"/>
  <c r="L61" i="55" s="1"/>
  <c r="L60" i="55"/>
  <c r="F60" i="55"/>
  <c r="O56" i="55"/>
  <c r="I56" i="55"/>
  <c r="H56" i="55"/>
  <c r="F56" i="55"/>
  <c r="L56" i="55" s="1"/>
  <c r="O55" i="55"/>
  <c r="I55" i="55"/>
  <c r="F55" i="55"/>
  <c r="L55" i="55" s="1"/>
  <c r="O53" i="55"/>
  <c r="I53" i="55"/>
  <c r="F53" i="55"/>
  <c r="L53" i="55" s="1"/>
  <c r="O51" i="55"/>
  <c r="I51" i="55"/>
  <c r="F51" i="55"/>
  <c r="L51" i="55" s="1"/>
  <c r="O49" i="55"/>
  <c r="I49" i="55"/>
  <c r="E49" i="55"/>
  <c r="O45" i="55"/>
  <c r="I45" i="55"/>
  <c r="F45" i="55"/>
  <c r="O44" i="55"/>
  <c r="I44" i="55"/>
  <c r="F44" i="55"/>
  <c r="L44" i="55" s="1"/>
  <c r="O43" i="55"/>
  <c r="I43" i="55"/>
  <c r="F43" i="55"/>
  <c r="O42" i="55"/>
  <c r="I42" i="55"/>
  <c r="F42" i="55"/>
  <c r="L42" i="55" s="1"/>
  <c r="F41" i="55"/>
  <c r="L41" i="55" s="1"/>
  <c r="O39" i="55"/>
  <c r="O63" i="55" s="1"/>
  <c r="I39" i="55"/>
  <c r="I64" i="55" s="1"/>
  <c r="F39" i="55"/>
  <c r="O38" i="55"/>
  <c r="L38" i="55"/>
  <c r="I38" i="55"/>
  <c r="F38" i="55"/>
  <c r="O36" i="55"/>
  <c r="I36" i="55"/>
  <c r="F36" i="55"/>
  <c r="O35" i="55"/>
  <c r="I35" i="55"/>
  <c r="F35" i="55"/>
  <c r="L35" i="55" s="1"/>
  <c r="N29" i="55"/>
  <c r="E89" i="55" s="1"/>
  <c r="N19" i="55"/>
  <c r="N56" i="55" s="1"/>
  <c r="J64" i="55"/>
  <c r="C1" i="55"/>
  <c r="N15" i="55"/>
  <c r="O13" i="54"/>
  <c r="K13" i="54"/>
  <c r="N20" i="55" s="1"/>
  <c r="J13" i="54"/>
  <c r="N21" i="55" s="1"/>
  <c r="F13" i="54"/>
  <c r="D13" i="54"/>
  <c r="O12" i="54"/>
  <c r="H17" i="55" s="1"/>
  <c r="M12" i="54"/>
  <c r="G15" i="55" s="1"/>
  <c r="H15" i="55" s="1"/>
  <c r="I12" i="54"/>
  <c r="G12" i="54"/>
  <c r="H12" i="55" s="1"/>
  <c r="I12" i="46"/>
  <c r="L76" i="51"/>
  <c r="L73" i="51"/>
  <c r="N29" i="51"/>
  <c r="E89" i="51" s="1"/>
  <c r="N25" i="51"/>
  <c r="O12" i="46"/>
  <c r="H17" i="51" s="1"/>
  <c r="N17" i="51" s="1"/>
  <c r="M12" i="46"/>
  <c r="G15" i="51" s="1"/>
  <c r="H15" i="51" s="1"/>
  <c r="O89" i="51"/>
  <c r="O81" i="51"/>
  <c r="O76" i="51"/>
  <c r="O75" i="51"/>
  <c r="O73" i="51"/>
  <c r="O72" i="51"/>
  <c r="K27" i="43"/>
  <c r="L75" i="51" s="1"/>
  <c r="K26" i="43"/>
  <c r="L72" i="55" s="1"/>
  <c r="N28" i="55" l="1"/>
  <c r="T21" i="55"/>
  <c r="N27" i="55"/>
  <c r="T20" i="55"/>
  <c r="G13" i="54"/>
  <c r="M22" i="55"/>
  <c r="M15" i="51"/>
  <c r="N15" i="51" s="1"/>
  <c r="L15" i="51" s="1"/>
  <c r="G35" i="46"/>
  <c r="K28" i="43"/>
  <c r="L75" i="55"/>
  <c r="L72" i="51"/>
  <c r="O64" i="55"/>
  <c r="O61" i="55"/>
  <c r="O62" i="55"/>
  <c r="H16" i="55"/>
  <c r="C36" i="54" s="1"/>
  <c r="G14" i="55"/>
  <c r="H14" i="55" s="1"/>
  <c r="H55" i="55" s="1"/>
  <c r="J55" i="55" s="1"/>
  <c r="J60" i="55"/>
  <c r="M14" i="55"/>
  <c r="N14" i="55" s="1"/>
  <c r="N55" i="55" s="1"/>
  <c r="P55" i="55" s="1"/>
  <c r="N12" i="55"/>
  <c r="T12" i="55" s="1"/>
  <c r="T43" i="55" s="1"/>
  <c r="C37" i="54"/>
  <c r="N17" i="55"/>
  <c r="N16" i="55"/>
  <c r="F49" i="55"/>
  <c r="F95" i="55"/>
  <c r="N35" i="55"/>
  <c r="P35" i="55" s="1"/>
  <c r="E37" i="54"/>
  <c r="H60" i="55"/>
  <c r="H41" i="55"/>
  <c r="J41" i="55" s="1"/>
  <c r="H39" i="55"/>
  <c r="J39" i="55" s="1"/>
  <c r="H36" i="55"/>
  <c r="J36" i="55" s="1"/>
  <c r="G17" i="55"/>
  <c r="G36" i="54"/>
  <c r="H51" i="55"/>
  <c r="J51" i="55" s="1"/>
  <c r="H95" i="55"/>
  <c r="H53" i="55"/>
  <c r="J53" i="55" s="1"/>
  <c r="H49" i="55"/>
  <c r="E36" i="54"/>
  <c r="H35" i="55"/>
  <c r="J35" i="55" s="1"/>
  <c r="D37" i="54"/>
  <c r="N25" i="55"/>
  <c r="P56" i="55"/>
  <c r="I61" i="55"/>
  <c r="I63" i="55"/>
  <c r="L36" i="55"/>
  <c r="L39" i="55"/>
  <c r="J56" i="55"/>
  <c r="J61" i="55"/>
  <c r="J63" i="55"/>
  <c r="N13" i="55"/>
  <c r="L43" i="55"/>
  <c r="L45" i="55"/>
  <c r="I62" i="55"/>
  <c r="J62" i="55"/>
  <c r="D36" i="46"/>
  <c r="T62" i="55" l="1"/>
  <c r="V43" i="55"/>
  <c r="T13" i="55"/>
  <c r="V62" i="55"/>
  <c r="V61" i="55"/>
  <c r="V64" i="55"/>
  <c r="V60" i="55"/>
  <c r="V63" i="55"/>
  <c r="T41" i="55"/>
  <c r="V41" i="55" s="1"/>
  <c r="T60" i="55"/>
  <c r="T45" i="55"/>
  <c r="T44" i="55"/>
  <c r="N26" i="55"/>
  <c r="T17" i="55"/>
  <c r="T42" i="55"/>
  <c r="H18" i="55"/>
  <c r="G18" i="55" s="1"/>
  <c r="J49" i="55"/>
  <c r="F15" i="55"/>
  <c r="J65" i="55"/>
  <c r="F17" i="55"/>
  <c r="F37" i="54"/>
  <c r="N18" i="55"/>
  <c r="N38" i="55" s="1"/>
  <c r="P38" i="55" s="1"/>
  <c r="H36" i="54"/>
  <c r="F36" i="54"/>
  <c r="J95" i="55"/>
  <c r="O36" i="54" s="1"/>
  <c r="N75" i="55"/>
  <c r="P75" i="55" s="1"/>
  <c r="N72" i="55"/>
  <c r="P72" i="55" s="1"/>
  <c r="N89" i="55"/>
  <c r="N81" i="55"/>
  <c r="N76" i="55"/>
  <c r="P76" i="55" s="1"/>
  <c r="N73" i="55"/>
  <c r="P73" i="55" s="1"/>
  <c r="N53" i="55"/>
  <c r="P53" i="55" s="1"/>
  <c r="N49" i="55"/>
  <c r="N95" i="55"/>
  <c r="P95" i="55" s="1"/>
  <c r="O37" i="54" s="1"/>
  <c r="N39" i="55"/>
  <c r="P39" i="55" s="1"/>
  <c r="N36" i="55"/>
  <c r="P36" i="55" s="1"/>
  <c r="G37" i="54"/>
  <c r="N51" i="55"/>
  <c r="P51" i="55" s="1"/>
  <c r="L81" i="55"/>
  <c r="L49" i="55"/>
  <c r="R49" i="55" s="1"/>
  <c r="N41" i="55"/>
  <c r="P41" i="55" s="1"/>
  <c r="N60" i="55"/>
  <c r="P63" i="55"/>
  <c r="P61" i="55"/>
  <c r="P60" i="55"/>
  <c r="P64" i="55"/>
  <c r="P62" i="55"/>
  <c r="V65" i="55" l="1"/>
  <c r="T61" i="55"/>
  <c r="V42" i="55"/>
  <c r="H37" i="54"/>
  <c r="G39" i="54"/>
  <c r="T51" i="55"/>
  <c r="V51" i="55" s="1"/>
  <c r="T53" i="55"/>
  <c r="V53" i="55" s="1"/>
  <c r="T36" i="55"/>
  <c r="V36" i="55" s="1"/>
  <c r="T39" i="55"/>
  <c r="V39" i="55" s="1"/>
  <c r="V103" i="55" s="1"/>
  <c r="T95" i="55"/>
  <c r="V95" i="55" s="1"/>
  <c r="O39" i="54" s="1"/>
  <c r="T49" i="55"/>
  <c r="V49" i="55" s="1"/>
  <c r="T64" i="55"/>
  <c r="V45" i="55"/>
  <c r="T63" i="55"/>
  <c r="V44" i="55"/>
  <c r="H38" i="55"/>
  <c r="J38" i="55" s="1"/>
  <c r="P81" i="55"/>
  <c r="N42" i="55"/>
  <c r="N61" i="55" s="1"/>
  <c r="P78" i="55"/>
  <c r="N44" i="55"/>
  <c r="P44" i="55" s="1"/>
  <c r="N43" i="55"/>
  <c r="N45" i="55"/>
  <c r="N64" i="55" s="1"/>
  <c r="P65" i="55"/>
  <c r="P103" i="55"/>
  <c r="H45" i="55"/>
  <c r="H43" i="55"/>
  <c r="H44" i="55"/>
  <c r="H42" i="55"/>
  <c r="P102" i="55"/>
  <c r="L89" i="55"/>
  <c r="P89" i="55" s="1"/>
  <c r="P49" i="55"/>
  <c r="V105" i="55" s="1"/>
  <c r="E81" i="51"/>
  <c r="F49" i="51"/>
  <c r="L81" i="51" s="1"/>
  <c r="E49" i="51"/>
  <c r="F35" i="51"/>
  <c r="D13" i="46"/>
  <c r="G12" i="46"/>
  <c r="H12" i="51" s="1"/>
  <c r="K13" i="46"/>
  <c r="J13" i="46"/>
  <c r="F13" i="46"/>
  <c r="M22" i="51" s="1"/>
  <c r="S22" i="51" s="1"/>
  <c r="N20" i="51" l="1"/>
  <c r="N13" i="51"/>
  <c r="T13" i="51" s="1"/>
  <c r="N21" i="51"/>
  <c r="P90" i="55"/>
  <c r="J37" i="54" s="1"/>
  <c r="N63" i="55"/>
  <c r="P42" i="55"/>
  <c r="V104" i="55" s="1"/>
  <c r="P45" i="55"/>
  <c r="N62" i="55"/>
  <c r="P43" i="55"/>
  <c r="H61" i="55"/>
  <c r="J42" i="55"/>
  <c r="H64" i="55"/>
  <c r="J45" i="55"/>
  <c r="H63" i="55"/>
  <c r="J44" i="55"/>
  <c r="H62" i="55"/>
  <c r="J43" i="55"/>
  <c r="P105" i="55"/>
  <c r="G13" i="46"/>
  <c r="N12" i="51" s="1"/>
  <c r="F17" i="51"/>
  <c r="N28" i="51" l="1"/>
  <c r="T21" i="51"/>
  <c r="N27" i="51"/>
  <c r="T20" i="51"/>
  <c r="P46" i="55"/>
  <c r="P57" i="55" s="1"/>
  <c r="P67" i="55" s="1"/>
  <c r="P92" i="55" s="1"/>
  <c r="P97" i="55" s="1"/>
  <c r="P104" i="55"/>
  <c r="P106" i="55" s="1"/>
  <c r="J46" i="55"/>
  <c r="J57" i="55" s="1"/>
  <c r="I37" i="54" l="1"/>
  <c r="J67" i="55"/>
  <c r="I36" i="54" s="1"/>
  <c r="J92" i="55"/>
  <c r="C36" i="46"/>
  <c r="C37" i="46" s="1"/>
  <c r="L37" i="54" l="1"/>
  <c r="M37" i="54" s="1"/>
  <c r="I39" i="54"/>
  <c r="L36" i="54"/>
  <c r="M36" i="54" s="1"/>
  <c r="S14" i="51"/>
  <c r="S16" i="51"/>
  <c r="E37" i="46"/>
  <c r="J97" i="55"/>
  <c r="P98" i="55" s="1"/>
  <c r="P1" i="55" s="1"/>
  <c r="P100" i="55"/>
  <c r="P93" i="55"/>
  <c r="P2" i="55" s="1"/>
  <c r="P36" i="54"/>
  <c r="P37" i="54" l="1"/>
  <c r="Q37" i="54" s="1"/>
  <c r="N37" i="54"/>
  <c r="T12" i="51"/>
  <c r="T16" i="51"/>
  <c r="S15" i="51"/>
  <c r="T14" i="51"/>
  <c r="G95" i="51"/>
  <c r="I95" i="51"/>
  <c r="I51" i="51"/>
  <c r="U36" i="51"/>
  <c r="F39" i="51"/>
  <c r="L39" i="51" s="1"/>
  <c r="O36" i="51"/>
  <c r="I36" i="51"/>
  <c r="O35" i="51"/>
  <c r="U35" i="51"/>
  <c r="O38" i="51"/>
  <c r="U38" i="51"/>
  <c r="O39" i="51"/>
  <c r="O62" i="51" s="1"/>
  <c r="U39" i="51"/>
  <c r="U62" i="51" s="1"/>
  <c r="O42" i="51"/>
  <c r="U42" i="51"/>
  <c r="O43" i="51"/>
  <c r="U43" i="51"/>
  <c r="O44" i="51"/>
  <c r="U44" i="51"/>
  <c r="O45" i="51"/>
  <c r="U45" i="51"/>
  <c r="O49" i="51"/>
  <c r="U49" i="51"/>
  <c r="O51" i="51"/>
  <c r="R51" i="51"/>
  <c r="U51" i="51"/>
  <c r="O53" i="51"/>
  <c r="R53" i="51"/>
  <c r="U53" i="51"/>
  <c r="O55" i="51"/>
  <c r="R55" i="51"/>
  <c r="U55" i="51"/>
  <c r="O56" i="51"/>
  <c r="R56" i="51"/>
  <c r="U56" i="51"/>
  <c r="O61" i="51"/>
  <c r="F36" i="51"/>
  <c r="L36" i="51" s="1"/>
  <c r="L35" i="51"/>
  <c r="T18" i="51" l="1"/>
  <c r="U63" i="51"/>
  <c r="O64" i="51"/>
  <c r="R39" i="51"/>
  <c r="O63" i="51"/>
  <c r="R35" i="51"/>
  <c r="R36" i="51"/>
  <c r="U61" i="51"/>
  <c r="U64" i="51"/>
  <c r="F95" i="51" l="1"/>
  <c r="E35" i="46"/>
  <c r="L49" i="51" l="1"/>
  <c r="L89" i="51" s="1"/>
  <c r="F15" i="51"/>
  <c r="H16" i="51"/>
  <c r="H18" i="51" l="1"/>
  <c r="G18" i="51" s="1"/>
  <c r="R49" i="51"/>
  <c r="C35" i="46"/>
  <c r="H35" i="46" l="1"/>
  <c r="F35" i="46"/>
  <c r="H56" i="51"/>
  <c r="N55" i="51"/>
  <c r="H60" i="51"/>
  <c r="F38" i="51"/>
  <c r="F60" i="51"/>
  <c r="F61" i="51"/>
  <c r="F62" i="51"/>
  <c r="F63" i="51"/>
  <c r="F64" i="51"/>
  <c r="I35" i="51"/>
  <c r="I38" i="51"/>
  <c r="I39" i="51"/>
  <c r="I62" i="51" s="1"/>
  <c r="F41" i="51"/>
  <c r="F42" i="51"/>
  <c r="I42" i="51"/>
  <c r="F43" i="51"/>
  <c r="I43" i="51"/>
  <c r="F44" i="51"/>
  <c r="I44" i="51"/>
  <c r="F45" i="51"/>
  <c r="I45" i="51"/>
  <c r="I49" i="51"/>
  <c r="F51" i="51"/>
  <c r="L51" i="51" s="1"/>
  <c r="F53" i="51"/>
  <c r="L53" i="51" s="1"/>
  <c r="I53" i="51"/>
  <c r="F55" i="51"/>
  <c r="L55" i="51" s="1"/>
  <c r="I55" i="51"/>
  <c r="F56" i="51"/>
  <c r="L56" i="51" s="1"/>
  <c r="I56" i="51"/>
  <c r="C1" i="51"/>
  <c r="H55" i="51"/>
  <c r="H41" i="51"/>
  <c r="L42" i="51" l="1"/>
  <c r="R42" i="51"/>
  <c r="L61" i="51"/>
  <c r="R61" i="51"/>
  <c r="L41" i="51"/>
  <c r="R41" i="51"/>
  <c r="L60" i="51"/>
  <c r="R60" i="51"/>
  <c r="P55" i="51"/>
  <c r="L45" i="51"/>
  <c r="R45" i="51"/>
  <c r="L44" i="51"/>
  <c r="R44" i="51"/>
  <c r="L64" i="51"/>
  <c r="R64" i="51"/>
  <c r="L38" i="51"/>
  <c r="R38" i="51"/>
  <c r="L43" i="51"/>
  <c r="R43" i="51"/>
  <c r="L63" i="51"/>
  <c r="R63" i="51"/>
  <c r="L62" i="51"/>
  <c r="R62" i="51"/>
  <c r="N60" i="51"/>
  <c r="N41" i="51"/>
  <c r="E36" i="46"/>
  <c r="I63" i="51"/>
  <c r="I64" i="51"/>
  <c r="I61" i="51"/>
  <c r="J55" i="51"/>
  <c r="J56" i="51"/>
  <c r="J60" i="51"/>
  <c r="N56" i="51"/>
  <c r="P56" i="51" s="1"/>
  <c r="H35" i="51"/>
  <c r="J35" i="51" s="1"/>
  <c r="J41" i="51"/>
  <c r="T55" i="51" l="1"/>
  <c r="V55" i="51" s="1"/>
  <c r="F36" i="46"/>
  <c r="P60" i="51"/>
  <c r="P41" i="51"/>
  <c r="N35" i="51"/>
  <c r="P35" i="51" s="1"/>
  <c r="T41" i="51"/>
  <c r="V41" i="51" s="1"/>
  <c r="T60" i="51"/>
  <c r="V60" i="51" s="1"/>
  <c r="T56" i="51"/>
  <c r="V56" i="51" s="1"/>
  <c r="H45" i="51"/>
  <c r="H38" i="51"/>
  <c r="J38" i="51" s="1"/>
  <c r="T38" i="51" l="1"/>
  <c r="V38" i="51" s="1"/>
  <c r="N43" i="51"/>
  <c r="N38" i="51"/>
  <c r="P38" i="51" s="1"/>
  <c r="N42" i="51"/>
  <c r="N45" i="51"/>
  <c r="N44" i="51"/>
  <c r="H43" i="51"/>
  <c r="J43" i="51" s="1"/>
  <c r="H44" i="51"/>
  <c r="J44" i="51" s="1"/>
  <c r="H42" i="51"/>
  <c r="H61" i="51" s="1"/>
  <c r="J61" i="51" s="1"/>
  <c r="H64" i="51"/>
  <c r="J64" i="51" s="1"/>
  <c r="J45" i="51"/>
  <c r="T42" i="51" l="1"/>
  <c r="V42" i="51" s="1"/>
  <c r="T45" i="51"/>
  <c r="T64" i="51" s="1"/>
  <c r="V64" i="51" s="1"/>
  <c r="T43" i="51"/>
  <c r="V43" i="51" s="1"/>
  <c r="T44" i="51"/>
  <c r="T63" i="51" s="1"/>
  <c r="V63" i="51" s="1"/>
  <c r="N63" i="51"/>
  <c r="P63" i="51" s="1"/>
  <c r="P44" i="51"/>
  <c r="N61" i="51"/>
  <c r="P61" i="51" s="1"/>
  <c r="P42" i="51"/>
  <c r="N64" i="51"/>
  <c r="P64" i="51" s="1"/>
  <c r="P45" i="51"/>
  <c r="N62" i="51"/>
  <c r="P62" i="51" s="1"/>
  <c r="P43" i="51"/>
  <c r="H62" i="51"/>
  <c r="J62" i="51" s="1"/>
  <c r="H63" i="51"/>
  <c r="J63" i="51" s="1"/>
  <c r="J42" i="51"/>
  <c r="P104" i="51" l="1"/>
  <c r="T62" i="51"/>
  <c r="V62" i="51" s="1"/>
  <c r="V44" i="51"/>
  <c r="T61" i="51"/>
  <c r="V61" i="51" s="1"/>
  <c r="V45" i="51"/>
  <c r="P65" i="51"/>
  <c r="J65" i="51"/>
  <c r="V104" i="51" l="1"/>
  <c r="V65" i="51"/>
  <c r="H36" i="51" l="1"/>
  <c r="J36" i="51" s="1"/>
  <c r="H95" i="51"/>
  <c r="J95" i="51" s="1"/>
  <c r="O35" i="46" s="1"/>
  <c r="H49" i="51"/>
  <c r="J49" i="51" s="1"/>
  <c r="H51" i="51"/>
  <c r="J51" i="51" s="1"/>
  <c r="H39" i="51"/>
  <c r="J39" i="51" s="1"/>
  <c r="H53" i="51"/>
  <c r="J53" i="51" s="1"/>
  <c r="G17" i="51"/>
  <c r="J46" i="51" l="1"/>
  <c r="J57" i="51" s="1"/>
  <c r="J92" i="51" l="1"/>
  <c r="J67" i="51"/>
  <c r="I35" i="46" s="1"/>
  <c r="L35" i="46" l="1"/>
  <c r="M35" i="46" s="1"/>
  <c r="J97" i="51"/>
  <c r="P35" i="46" l="1"/>
  <c r="N26" i="51"/>
  <c r="N89" i="51" l="1"/>
  <c r="P89" i="51" s="1"/>
  <c r="N76" i="51"/>
  <c r="P76" i="51" s="1"/>
  <c r="N75" i="51"/>
  <c r="P75" i="51" s="1"/>
  <c r="N72" i="51"/>
  <c r="P72" i="51" s="1"/>
  <c r="N73" i="51"/>
  <c r="P73" i="51" s="1"/>
  <c r="N81" i="51"/>
  <c r="P81" i="51" s="1"/>
  <c r="N49" i="51"/>
  <c r="P49" i="51" s="1"/>
  <c r="N39" i="51"/>
  <c r="P39" i="51" s="1"/>
  <c r="N36" i="51"/>
  <c r="P36" i="51" s="1"/>
  <c r="N95" i="51"/>
  <c r="P95" i="51" s="1"/>
  <c r="O36" i="46" s="1"/>
  <c r="N53" i="51"/>
  <c r="P53" i="51" s="1"/>
  <c r="N51" i="51"/>
  <c r="P51" i="51" s="1"/>
  <c r="G36" i="46"/>
  <c r="H36" i="46" l="1"/>
  <c r="G37" i="46"/>
  <c r="H37" i="46" s="1"/>
  <c r="R17" i="51" s="1"/>
  <c r="T17" i="51" s="1"/>
  <c r="P78" i="51"/>
  <c r="P90" i="51" s="1"/>
  <c r="J36" i="46" s="1"/>
  <c r="P105" i="51"/>
  <c r="P103" i="51"/>
  <c r="P46" i="51"/>
  <c r="P57" i="51" s="1"/>
  <c r="P67" i="51" s="1"/>
  <c r="P102" i="51"/>
  <c r="T95" i="51" l="1"/>
  <c r="V95" i="51" s="1"/>
  <c r="O37" i="46" s="1"/>
  <c r="T36" i="51"/>
  <c r="V36" i="51" s="1"/>
  <c r="T53" i="51"/>
  <c r="V53" i="51" s="1"/>
  <c r="T51" i="51"/>
  <c r="V51" i="51" s="1"/>
  <c r="T49" i="51"/>
  <c r="V49" i="51" s="1"/>
  <c r="T39" i="51"/>
  <c r="V39" i="51" s="1"/>
  <c r="V103" i="51" s="1"/>
  <c r="P106" i="51"/>
  <c r="I36" i="46"/>
  <c r="P92" i="51"/>
  <c r="V105" i="51" l="1"/>
  <c r="L36" i="46"/>
  <c r="M36" i="46" s="1"/>
  <c r="I37" i="46"/>
  <c r="P100" i="51"/>
  <c r="P93" i="51"/>
  <c r="P2" i="51" s="1"/>
  <c r="P97" i="51"/>
  <c r="N36" i="46" l="1"/>
  <c r="P36" i="46"/>
  <c r="Q36" i="46" s="1"/>
  <c r="P98" i="51"/>
  <c r="P1" i="51" s="1"/>
  <c r="T15" i="51" l="1"/>
  <c r="T35" i="51" s="1"/>
  <c r="V35" i="51" s="1"/>
  <c r="V46" i="51" l="1"/>
  <c r="V57" i="51" s="1"/>
  <c r="V67" i="51" s="1"/>
  <c r="V102" i="51"/>
  <c r="V106" i="51" s="1"/>
  <c r="K37" i="46" l="1"/>
  <c r="L37" i="46" s="1"/>
  <c r="V92" i="51"/>
  <c r="V100" i="51" s="1"/>
  <c r="V93" i="51" l="1"/>
  <c r="V2" i="51" s="1"/>
  <c r="V97" i="51"/>
  <c r="V98" i="51" s="1"/>
  <c r="V1" i="51" s="1"/>
  <c r="N37" i="46"/>
  <c r="P37" i="46"/>
  <c r="Q37" i="46" s="1"/>
  <c r="M37" i="46"/>
  <c r="S15" i="55"/>
  <c r="T15" i="55" s="1"/>
  <c r="T35" i="55" s="1"/>
  <c r="V35" i="55" s="1"/>
  <c r="V46" i="55" l="1"/>
  <c r="V57" i="55" s="1"/>
  <c r="V67" i="55" s="1"/>
  <c r="V102" i="55"/>
  <c r="V106" i="55" s="1"/>
  <c r="K39" i="54" l="1"/>
  <c r="L39" i="54" s="1"/>
  <c r="V92" i="55"/>
  <c r="P39" i="54" l="1"/>
  <c r="Q39" i="54" s="1"/>
  <c r="N39" i="54"/>
  <c r="M39" i="54"/>
  <c r="V93" i="55"/>
  <c r="V2" i="55" s="1"/>
  <c r="V100" i="55"/>
  <c r="V97" i="55"/>
  <c r="V98" i="55" s="1"/>
  <c r="V1"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36" authorId="0" shapeId="0" xr:uid="{431373B9-CADE-4A4F-B750-988FB4CE401B}">
      <text>
        <r>
          <rPr>
            <b/>
            <sz val="9"/>
            <color indexed="81"/>
            <rFont val="Tahoma"/>
            <family val="2"/>
          </rPr>
          <t>Author:</t>
        </r>
        <r>
          <rPr>
            <sz val="9"/>
            <color indexed="81"/>
            <rFont val="Tahoma"/>
            <family val="2"/>
          </rPr>
          <t xml:space="preserve">
Values of these cells can be used in Schedule A to illustrate relative cost of electric energy</t>
        </r>
      </text>
    </comment>
    <comment ref="F37" authorId="0" shapeId="0" xr:uid="{49A7BB72-04CA-4CD1-AF91-7C25A43CEF5F}">
      <text>
        <r>
          <rPr>
            <b/>
            <sz val="9"/>
            <color indexed="81"/>
            <rFont val="Tahoma"/>
            <family val="2"/>
          </rPr>
          <t>Author:</t>
        </r>
        <r>
          <rPr>
            <sz val="9"/>
            <color indexed="81"/>
            <rFont val="Tahoma"/>
            <family val="2"/>
          </rPr>
          <t xml:space="preserve">
Estimation of CF if all energy (in Scenario B) consumed under Rate DTS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39" authorId="0" shapeId="0" xr:uid="{0188FBF6-1B8C-4A99-99D6-9EA6CB14DB0C}">
      <text>
        <r>
          <rPr>
            <b/>
            <sz val="9"/>
            <color indexed="81"/>
            <rFont val="Tahoma"/>
            <family val="2"/>
          </rPr>
          <t>Author:</t>
        </r>
        <r>
          <rPr>
            <sz val="9"/>
            <color indexed="81"/>
            <rFont val="Tahoma"/>
            <family val="2"/>
          </rPr>
          <t xml:space="preserve">
Estimation of CF if all energy (in Scenario B) consumed under Rate DTS</t>
        </r>
      </text>
    </comment>
    <comment ref="M39" authorId="0" shapeId="0" xr:uid="{EDD47CAD-A28D-4DB2-A968-5AFE3EC97E40}">
      <text>
        <r>
          <rPr>
            <b/>
            <sz val="9"/>
            <color indexed="81"/>
            <rFont val="Tahoma"/>
            <family val="2"/>
          </rPr>
          <t>Author:</t>
        </r>
        <r>
          <rPr>
            <sz val="9"/>
            <color indexed="81"/>
            <rFont val="Tahoma"/>
            <family val="2"/>
          </rPr>
          <t xml:space="preserve">
Values of these cells can be used in Schedule A to illustrate relative cost of electric energy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0" authorId="0" shapeId="0" xr:uid="{41F1EC0E-10D0-4C30-9D51-89C40CE69FA2}">
      <text>
        <r>
          <rPr>
            <b/>
            <sz val="9"/>
            <color indexed="81"/>
            <rFont val="Tahoma"/>
            <family val="2"/>
          </rPr>
          <t>Author:</t>
        </r>
        <r>
          <rPr>
            <sz val="9"/>
            <color indexed="81"/>
            <rFont val="Tahoma"/>
            <charset val="1"/>
          </rPr>
          <t xml:space="preserve">
Load pattern </t>
        </r>
        <r>
          <rPr>
            <u/>
            <sz val="9"/>
            <color indexed="81"/>
            <rFont val="Tahoma"/>
            <family val="2"/>
          </rPr>
          <t>if</t>
        </r>
        <r>
          <rPr>
            <sz val="9"/>
            <color indexed="81"/>
            <rFont val="Tahoma"/>
            <charset val="1"/>
          </rPr>
          <t xml:space="preserve"> only rate available was Rate DTS.</t>
        </r>
      </text>
    </comment>
    <comment ref="L10" authorId="0" shapeId="0" xr:uid="{D7207EB4-91C2-468F-84AE-B28CF02D682D}">
      <text>
        <r>
          <rPr>
            <b/>
            <sz val="9"/>
            <color indexed="81"/>
            <rFont val="Tahoma"/>
            <family val="2"/>
          </rPr>
          <t>Author:</t>
        </r>
        <r>
          <rPr>
            <sz val="9"/>
            <color indexed="81"/>
            <rFont val="Tahoma"/>
            <family val="2"/>
          </rPr>
          <t xml:space="preserve">
Load pattern if Rate DOS was applicable/available</t>
        </r>
      </text>
    </comment>
    <comment ref="R10" authorId="0" shapeId="0" xr:uid="{3F5BE819-2D98-4317-82DE-91716262DDA6}">
      <text>
        <r>
          <rPr>
            <b/>
            <sz val="9"/>
            <color indexed="81"/>
            <rFont val="Tahoma"/>
            <family val="2"/>
          </rPr>
          <t>Author:</t>
        </r>
        <r>
          <rPr>
            <sz val="9"/>
            <color indexed="81"/>
            <rFont val="Tahoma"/>
            <family val="2"/>
          </rPr>
          <t xml:space="preserve">
Keeping load consumption same as if Rate DOS, was applicable, what would Rate DTS result in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0" authorId="0" shapeId="0" xr:uid="{21EB1F22-9781-4FF9-82E2-FDE610805617}">
      <text>
        <r>
          <rPr>
            <b/>
            <sz val="9"/>
            <color indexed="81"/>
            <rFont val="Tahoma"/>
            <family val="2"/>
          </rPr>
          <t>Author:</t>
        </r>
        <r>
          <rPr>
            <sz val="9"/>
            <color indexed="81"/>
            <rFont val="Tahoma"/>
            <charset val="1"/>
          </rPr>
          <t xml:space="preserve">
Current l
oad pattern </t>
        </r>
        <r>
          <rPr>
            <u/>
            <sz val="9"/>
            <color indexed="81"/>
            <rFont val="Tahoma"/>
            <family val="2"/>
          </rPr>
          <t>if</t>
        </r>
        <r>
          <rPr>
            <sz val="9"/>
            <color indexed="81"/>
            <rFont val="Tahoma"/>
            <charset val="1"/>
          </rPr>
          <t xml:space="preserve"> only rate available was Rate DTS.</t>
        </r>
      </text>
    </comment>
    <comment ref="L10" authorId="0" shapeId="0" xr:uid="{D38922C5-D1A4-401D-89DB-D17A10ACC2CE}">
      <text>
        <r>
          <rPr>
            <b/>
            <sz val="9"/>
            <color indexed="81"/>
            <rFont val="Tahoma"/>
            <family val="2"/>
          </rPr>
          <t>Author:</t>
        </r>
        <r>
          <rPr>
            <sz val="9"/>
            <color indexed="81"/>
            <rFont val="Tahoma"/>
            <family val="2"/>
          </rPr>
          <t xml:space="preserve">
Load pattern if Rate DOS was applicable/available</t>
        </r>
      </text>
    </comment>
    <comment ref="R10" authorId="0" shapeId="0" xr:uid="{6C304280-8A0A-4042-9278-410515B9EA97}">
      <text>
        <r>
          <rPr>
            <b/>
            <sz val="9"/>
            <color indexed="81"/>
            <rFont val="Tahoma"/>
            <family val="2"/>
          </rPr>
          <t>Author:</t>
        </r>
        <r>
          <rPr>
            <sz val="9"/>
            <color indexed="81"/>
            <rFont val="Tahoma"/>
            <family val="2"/>
          </rPr>
          <t xml:space="preserve">
Keeping load consumption same as if Rate DOS, was applicable, what would Rate DTS result in</t>
        </r>
      </text>
    </comment>
  </commentList>
</comments>
</file>

<file path=xl/sharedStrings.xml><?xml version="1.0" encoding="utf-8"?>
<sst xmlns="http://schemas.openxmlformats.org/spreadsheetml/2006/main" count="766" uniqueCount="206">
  <si>
    <r>
      <rPr>
        <b/>
        <i/>
        <sz val="11"/>
        <color rgb="FF000000"/>
        <rFont val="Arial"/>
      </rPr>
      <t>This analysis tool is not authoritative and is for information purposes only and intended to provide guidance and information to the AESO. In the event of any discrepancy between this tool and any authoritative document</t>
    </r>
    <r>
      <rPr>
        <b/>
        <i/>
        <vertAlign val="superscript"/>
        <sz val="11"/>
        <color rgb="FF000000"/>
        <rFont val="Arial"/>
      </rPr>
      <t>1</t>
    </r>
    <r>
      <rPr>
        <b/>
        <i/>
        <sz val="11"/>
        <color rgb="FF000000"/>
        <rFont val="Arial"/>
      </rPr>
      <t> in effect, the authoritative document governs.</t>
    </r>
  </si>
  <si>
    <t>1         Purpose</t>
  </si>
  <si>
    <r>
      <t xml:space="preserve">This analysis tool is intended to allow the AESO to assess a Rate DOS, </t>
    </r>
    <r>
      <rPr>
        <i/>
        <sz val="10"/>
        <rFont val="Arial"/>
        <family val="2"/>
      </rPr>
      <t>Demand Opportunity Service</t>
    </r>
    <r>
      <rPr>
        <sz val="10"/>
        <rFont val="Arial"/>
        <family val="2"/>
      </rPr>
      <t>, applicant's anticipated load characteristics and determine eligibility for Rate DOS.</t>
    </r>
  </si>
  <si>
    <r>
      <t xml:space="preserve">The calculations in this analysis tool estimates revenues for Rate DOS and Rate DTS, </t>
    </r>
    <r>
      <rPr>
        <i/>
        <sz val="10"/>
        <rFont val="Arial"/>
        <family val="2"/>
      </rPr>
      <t>Demand Transmission Service</t>
    </r>
    <r>
      <rPr>
        <sz val="10"/>
        <rFont val="Arial"/>
        <family val="2"/>
      </rPr>
      <t>, based on currently approved ISO tariff rates (2024 ISO tariff)</t>
    </r>
    <r>
      <rPr>
        <i/>
        <sz val="10"/>
        <rFont val="Arial"/>
        <family val="2"/>
      </rPr>
      <t>.</t>
    </r>
  </si>
  <si>
    <t>2         Completing the Anticipated Rate DOS Load Characteristics tool</t>
  </si>
  <si>
    <t>This section describes how a market participant may complete the analysis tool to provide information to the AESO to determine Rate DOS eligibility and assist the Market Participant in preparing their Evidence of Eligibility.</t>
  </si>
  <si>
    <t>Initial Steps</t>
  </si>
  <si>
    <t>Select appropriate tab to input load characteristics - "With no Rate DTS Reduction" if no Rate DTS decrease is</t>
  </si>
  <si>
    <t>being applied for and "With Rate DTS Reduction" if a Rate DTS reduction is being applied for in combination with</t>
  </si>
  <si>
    <t>an application for new or increased Rate DOS contract.</t>
  </si>
  <si>
    <t>The information included in both tabs will allow revenue calculations under 2 or 3 scenarios based on the requirement for a Rate DTS reduction or not.</t>
  </si>
  <si>
    <t>Adjusting Input Data</t>
  </si>
  <si>
    <t>All yellow shaded fields in the analysis tabs should be filled in or adjusted.</t>
  </si>
  <si>
    <t>Results</t>
  </si>
  <si>
    <t>The analysis of the outputs by the AESO will involve assessing the revenue impact across the 2 or 3 different scenarios to determine if Rate DOS will result in additional revenue collected from the ISO tariff.</t>
  </si>
  <si>
    <t>For assistance with Schedule B, please contact the AESO at:</t>
  </si>
  <si>
    <t>dos.operations@aeso.ca</t>
  </si>
  <si>
    <t>Attachments</t>
  </si>
  <si>
    <r>
      <t xml:space="preserve">With no Rate DTS Reduction - Rate DOS Eligibility Analysis with </t>
    </r>
    <r>
      <rPr>
        <i/>
        <u/>
        <sz val="10"/>
        <rFont val="Arial"/>
        <family val="2"/>
      </rPr>
      <t>no Rate DTS reduction</t>
    </r>
  </si>
  <si>
    <r>
      <t xml:space="preserve">With Rate DTS Reduction - Rate DOS Eligibility Analysis with </t>
    </r>
    <r>
      <rPr>
        <i/>
        <u/>
        <sz val="10"/>
        <rFont val="Arial"/>
        <family val="2"/>
      </rPr>
      <t>Rate DTS reduction</t>
    </r>
  </si>
  <si>
    <t>Revision History</t>
  </si>
  <si>
    <t>Date</t>
  </si>
  <si>
    <t>Description</t>
  </si>
  <si>
    <t>Initial Release.</t>
  </si>
  <si>
    <r>
      <rPr>
        <vertAlign val="superscript"/>
        <sz val="9"/>
        <rFont val="Arial"/>
        <family val="2"/>
      </rPr>
      <t>1</t>
    </r>
    <r>
      <rPr>
        <sz val="9"/>
        <rFont val="Arial"/>
        <family val="2"/>
      </rPr>
      <t xml:space="preserve"> “Authoritative document” is the general name given by the AESO to categories of documents made by the AESO </t>
    </r>
  </si>
  <si>
    <r>
      <t xml:space="preserve">under the authority of the </t>
    </r>
    <r>
      <rPr>
        <i/>
        <sz val="9"/>
        <rFont val="Arial"/>
        <family val="2"/>
      </rPr>
      <t>Electric Utilities Act</t>
    </r>
    <r>
      <rPr>
        <sz val="9"/>
        <rFont val="Arial"/>
        <family val="2"/>
      </rPr>
      <t xml:space="preserve"> and associated regulations, and that contain binding legal requirements for </t>
    </r>
  </si>
  <si>
    <t>either market participants or the AESO, or both. Authoritative documents include: the ISO rules, the reliability standards</t>
  </si>
  <si>
    <t>and the ISO tariff.</t>
  </si>
  <si>
    <t xml:space="preserve"> </t>
  </si>
  <si>
    <t>Alberta Electric System Operator</t>
  </si>
  <si>
    <t>With no Rate DTS Reduction - Rate DOS Eligibility Analysis with no Rate DTS reduction</t>
  </si>
  <si>
    <r>
      <t xml:space="preserve">Proposed Rate DOS, </t>
    </r>
    <r>
      <rPr>
        <b/>
        <i/>
        <sz val="10"/>
        <rFont val="Arial Narrow"/>
        <family val="2"/>
      </rPr>
      <t>Demand Opportunity Service</t>
    </r>
    <r>
      <rPr>
        <b/>
        <sz val="10"/>
        <rFont val="Arial Narrow"/>
        <family val="2"/>
      </rPr>
      <t>, of the ISO tariff</t>
    </r>
  </si>
  <si>
    <t>Schedule A - Load Characteristics [Assessment of proposed Rate DTS and Rate DOS load characteristics]</t>
  </si>
  <si>
    <t>With No Accompanying Rate DTS Reduction</t>
  </si>
  <si>
    <t>Date:</t>
  </si>
  <si>
    <t>Market Participant Name:</t>
  </si>
  <si>
    <t>Market Participant A</t>
  </si>
  <si>
    <t>Project Number / Site Name</t>
  </si>
  <si>
    <t>Testing Site 1</t>
  </si>
  <si>
    <t>Site Sample 3</t>
  </si>
  <si>
    <t>Scenario</t>
  </si>
  <si>
    <t>Rate DTS Contract Capacity
(MW)</t>
  </si>
  <si>
    <t>Rate PSC Applicable</t>
  </si>
  <si>
    <t>Rate DOS Contract Capacity (MW)</t>
  </si>
  <si>
    <t>Rate STS Contract Capacity (MW)</t>
  </si>
  <si>
    <t>Substation Fraction</t>
  </si>
  <si>
    <t>Total Load Factor (%)</t>
  </si>
  <si>
    <t>Rate DTS Load Factor (%)</t>
  </si>
  <si>
    <t>Annual Average Pool Price</t>
  </si>
  <si>
    <t>Site Realized Annual Average Pool Price</t>
  </si>
  <si>
    <t>DOS Loss Factor (%)</t>
  </si>
  <si>
    <t>Average Coincident Peak
(MW)</t>
  </si>
  <si>
    <t>Coincidence Factor
(%)</t>
  </si>
  <si>
    <t>Annual Energy
(MWh)</t>
  </si>
  <si>
    <t>Scenario 1</t>
  </si>
  <si>
    <t>Rate DTS Only</t>
  </si>
  <si>
    <t>Yes</t>
  </si>
  <si>
    <t>Scenario 2</t>
  </si>
  <si>
    <t>with Rate DTS and Rate DOS - Dispatchable</t>
  </si>
  <si>
    <t>Estimated Transmission Costs</t>
  </si>
  <si>
    <t>Total Bill with Energy Settlement</t>
  </si>
  <si>
    <t>Rate DTS
($)</t>
  </si>
  <si>
    <t>Rate DOS - Dispatchable
($)</t>
  </si>
  <si>
    <t>Potential Rate DTS Revenue Loss (Gain)
($)</t>
  </si>
  <si>
    <t>Total Transmission Costs
($)</t>
  </si>
  <si>
    <t>Average Transmission Cost
($/MWh)</t>
  </si>
  <si>
    <t>Additional Transmission Revenue
(%)</t>
  </si>
  <si>
    <t>Site Realized Energy Costs
($)</t>
  </si>
  <si>
    <t>Total ISO Tariff Bill
($)</t>
  </si>
  <si>
    <t>Estimated Impact
(%)</t>
  </si>
  <si>
    <t>Scenario 1 - Rate DTS Only</t>
  </si>
  <si>
    <t>n/a</t>
  </si>
  <si>
    <t>--</t>
  </si>
  <si>
    <t>Scenario 2 - with Rate DTS and Rate DOS - Dispatchable</t>
  </si>
  <si>
    <t>[Scenario 2] - Charged as Rate DTS Only</t>
  </si>
  <si>
    <t>With Rate DTS Reduction - Rate DOS Eligibility Analysis with Rate DTS reduction</t>
  </si>
  <si>
    <t>Assessment of proposed Rate DTS and Rate DOS load characteristics</t>
  </si>
  <si>
    <t>With An Accompanying Rate DTS Reduction</t>
  </si>
  <si>
    <t>Market Participant B</t>
  </si>
  <si>
    <t>Testing Site 2</t>
  </si>
  <si>
    <t>Rate DTS Only (Existing Load Profile)</t>
  </si>
  <si>
    <t>No</t>
  </si>
  <si>
    <t>Rate</t>
  </si>
  <si>
    <t>Scenario 1 - Rate DTS Only (Existing Load Profile)</t>
  </si>
  <si>
    <t>Additional Transmission Revenue with DOS Dispatchable*</t>
  </si>
  <si>
    <t>Estimated Total Bill Impact</t>
  </si>
  <si>
    <t>Estimated Transmission Costs Impact</t>
  </si>
  <si>
    <t>Tariff Year</t>
  </si>
  <si>
    <t>Tariff:</t>
  </si>
  <si>
    <t>Rate DOS</t>
  </si>
  <si>
    <t>Rate DTS</t>
  </si>
  <si>
    <t>Assessment</t>
  </si>
  <si>
    <t>Scenario A</t>
  </si>
  <si>
    <t>With Rate DTS and Rate DOS - Dispatchable</t>
  </si>
  <si>
    <t>[B] Consumption - Rate DTS Only</t>
  </si>
  <si>
    <t>Rate DTS - Billing Determinants</t>
  </si>
  <si>
    <t>Factor</t>
  </si>
  <si>
    <t>Monthly Average</t>
  </si>
  <si>
    <t>Annual Volumes</t>
  </si>
  <si>
    <t xml:space="preserve"> (a)</t>
  </si>
  <si>
    <t>Substation fraction (SF)</t>
  </si>
  <si>
    <t xml:space="preserve"> (b)</t>
  </si>
  <si>
    <t xml:space="preserve"> (c)</t>
  </si>
  <si>
    <t>Highest metered demand</t>
  </si>
  <si>
    <t>MW</t>
  </si>
  <si>
    <t xml:space="preserve"> (d)</t>
  </si>
  <si>
    <t>Coincident metered demand</t>
  </si>
  <si>
    <t xml:space="preserve"> (e)</t>
  </si>
  <si>
    <t>Contract Capacity</t>
  </si>
  <si>
    <t xml:space="preserve"> (f)</t>
  </si>
  <si>
    <t>Metered energy</t>
  </si>
  <si>
    <t>MWh</t>
  </si>
  <si>
    <t xml:space="preserve"> (g)</t>
  </si>
  <si>
    <t>Billing capacity</t>
  </si>
  <si>
    <t xml:space="preserve"> (i)</t>
  </si>
  <si>
    <t>Apparent power factor difference</t>
  </si>
  <si>
    <t>MVA</t>
  </si>
  <si>
    <t xml:space="preserve"> (k)</t>
  </si>
  <si>
    <t>Site Average Pool Price on Energy Settlement</t>
  </si>
  <si>
    <t>/MWh</t>
  </si>
  <si>
    <t xml:space="preserve"> (l)</t>
  </si>
  <si>
    <t xml:space="preserve"> (m)</t>
  </si>
  <si>
    <t>Rate STS</t>
  </si>
  <si>
    <t>Rate DOS - Dispatchable - Billing Determinants</t>
  </si>
  <si>
    <t>Applicable Volumes</t>
  </si>
  <si>
    <t>Loss Factor</t>
  </si>
  <si>
    <t>Rate or Rider Component</t>
  </si>
  <si>
    <t>Volume</t>
  </si>
  <si>
    <t>Amount</t>
  </si>
  <si>
    <t>Rate DTS: Demand Transmission Service</t>
  </si>
  <si>
    <t>Connection Charge</t>
  </si>
  <si>
    <t>Bulk System Charge</t>
  </si>
  <si>
    <t>3(a)</t>
  </si>
  <si>
    <t>/MW/month</t>
  </si>
  <si>
    <t>3(b)</t>
  </si>
  <si>
    <t>Bulk - metered energy</t>
  </si>
  <si>
    <t>Regional System Charge</t>
  </si>
  <si>
    <t>3(c)</t>
  </si>
  <si>
    <t>Point of Delivery Charge</t>
  </si>
  <si>
    <t>3(e)</t>
  </si>
  <si>
    <t>Substation fraction</t>
  </si>
  <si>
    <t>/month</t>
  </si>
  <si>
    <t>3(f)</t>
  </si>
  <si>
    <t>First (7.5 × SF) MW of billing capacity</t>
  </si>
  <si>
    <t>3(g)</t>
  </si>
  <si>
    <t>Next (9.5 × SF) MW of billing capacity</t>
  </si>
  <si>
    <t>3(h)</t>
  </si>
  <si>
    <t>Next (23 × SF) MW of billing capacity</t>
  </si>
  <si>
    <t>3(i)</t>
  </si>
  <si>
    <t>All remaining MW of billing capacity</t>
  </si>
  <si>
    <t>Total Wires</t>
  </si>
  <si>
    <t>Operating Reserve Charge Estimate</t>
  </si>
  <si>
    <t>4</t>
  </si>
  <si>
    <t>pool price</t>
  </si>
  <si>
    <t>Transmission Constraint Rebalancing Charge Estimate</t>
  </si>
  <si>
    <t>5</t>
  </si>
  <si>
    <t>Voltage Control Charge</t>
  </si>
  <si>
    <t>6</t>
  </si>
  <si>
    <t>Other System Support Services Charge</t>
  </si>
  <si>
    <t>7(a)</t>
  </si>
  <si>
    <t>7(b)</t>
  </si>
  <si>
    <t>Apparent power difference</t>
  </si>
  <si>
    <t>/MVA/month</t>
  </si>
  <si>
    <t>Total Rate DTS</t>
  </si>
  <si>
    <t>Rate Primary Service Credit</t>
  </si>
  <si>
    <t>Total Rate PSC Credit</t>
  </si>
  <si>
    <t>Total Rate DTS and Rate PSC</t>
  </si>
  <si>
    <t>Updated Rate DOS: Demand Opportunity Service</t>
  </si>
  <si>
    <t>Fixed</t>
  </si>
  <si>
    <t>Usage</t>
  </si>
  <si>
    <t>Losses Charge</t>
  </si>
  <si>
    <t>Total Rate DOS</t>
  </si>
  <si>
    <t>Transmission Costs</t>
  </si>
  <si>
    <t>Transmission Costs Impact</t>
  </si>
  <si>
    <t>Energy Market Settlement</t>
  </si>
  <si>
    <t>Total Bill</t>
  </si>
  <si>
    <t>Total Bill Impact</t>
  </si>
  <si>
    <t>Total Additional Revenue</t>
  </si>
  <si>
    <t>Revenue Reduction of Same Load - Rate DTS vs Rate DTS + Rate DOS</t>
  </si>
  <si>
    <t>Additional Revenue on Bulk charges</t>
  </si>
  <si>
    <t>Additional Revenue on Regional charges</t>
  </si>
  <si>
    <t>Additional Revenue on POD charges only</t>
  </si>
  <si>
    <t>Additional Revenue on other charges</t>
  </si>
  <si>
    <t>Tariff</t>
  </si>
  <si>
    <t>Effective On</t>
  </si>
  <si>
    <t>End Date</t>
  </si>
  <si>
    <t>Current</t>
  </si>
  <si>
    <t>Rate DTS Charge</t>
  </si>
  <si>
    <t>(e) Substation fraction (SF)</t>
  </si>
  <si>
    <t>(f) First (7.5 × SF) MW of billing capacity</t>
  </si>
  <si>
    <t>(g) Next (9.5 × SF) MW of billing capacity</t>
  </si>
  <si>
    <t>(h) Next (23 × SF) MW of billing capacity</t>
  </si>
  <si>
    <t>(i) All remaining MW of billing capacity</t>
  </si>
  <si>
    <t>Rate PSC Credit</t>
  </si>
  <si>
    <t>Operating Reserve Charge</t>
  </si>
  <si>
    <t>Pool price (Actual)</t>
  </si>
  <si>
    <t>Multiplier</t>
  </si>
  <si>
    <t>Transmission Constraint Rebalancing Charge</t>
  </si>
  <si>
    <t>Regulated Generating Unit Connection Cost</t>
  </si>
  <si>
    <t>Apparent Power Difference</t>
  </si>
  <si>
    <t>Rider F</t>
  </si>
  <si>
    <t>Revenue Offsets (Rate DOS) (Bulk - Fixed)</t>
  </si>
  <si>
    <t>Revenue Offsets (Rate DOS) (Regional - Fixed)</t>
  </si>
  <si>
    <t>Total DOS Rate</t>
  </si>
  <si>
    <t>Year</t>
  </si>
  <si>
    <t>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</si>
</sst>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quot;$&quot;#,##0_);\(&quot;$&quot;#,##0\)"/>
    <numFmt numFmtId="165" formatCode="&quot;$&quot;#,##0_);[Red]\(&quot;$&quot;#,##0\)"/>
    <numFmt numFmtId="166" formatCode="&quot;$&quot;#,##0.00_);\(&quot;$&quot;#,##0.00\)"/>
    <numFmt numFmtId="167" formatCode="&quot;$&quot;#,##0.00_);[Red]\(&quot;$&quot;#,##0.00\)"/>
    <numFmt numFmtId="168" formatCode="_(&quot;$&quot;* #,##0.00_);_(&quot;$&quot;* \(#,##0.00\);_(&quot;$&quot;* &quot;-&quot;??_);_(@_)"/>
    <numFmt numFmtId="169" formatCode="_(* #,##0.00_);_(* \(#,##0.00\);_(* &quot;-&quot;??_);_(@_)"/>
    <numFmt numFmtId="170" formatCode="&quot;$&quot;#,##0.00"/>
    <numFmt numFmtId="171" formatCode="#,##0.0"/>
    <numFmt numFmtId="172" formatCode="#,##0.00000"/>
    <numFmt numFmtId="173" formatCode="&quot;× &quot;0.00%"/>
    <numFmt numFmtId="174" formatCode="&quot;= &quot;* &quot;$&quot;#,##0.00"/>
    <numFmt numFmtId="175" formatCode="&quot;$&quot;#,##0.000"/>
    <numFmt numFmtId="176" formatCode="&quot;$&quot;#,##0.000_);[Red]\(&quot;$&quot;#,##0.000\)"/>
    <numFmt numFmtId="177" formatCode="mmm\ dd\,\ yyyy"/>
    <numFmt numFmtId="178" formatCode="_(&quot;$&quot;* #,##0_);_(&quot;$&quot;* \(#,##0\);_(&quot;$&quot;* &quot;-&quot;??_);_(@_)"/>
    <numFmt numFmtId="179" formatCode="0.0"/>
    <numFmt numFmtId="180" formatCode="0.0%"/>
    <numFmt numFmtId="181" formatCode="\+#,##0.0%_);[Red]\(\-#,##0.0%\)"/>
    <numFmt numFmtId="182" formatCode="mmmm\ dd\,\ yyyy"/>
    <numFmt numFmtId="183" formatCode="&quot;$&quot;#,##0.0_);[Red]\(&quot;$&quot;#,##0.0\)"/>
    <numFmt numFmtId="184" formatCode="_(* #,##0.0000_);_(* \(#,##0.0000\);_(* &quot;-&quot;??_);_(@_)"/>
    <numFmt numFmtId="185" formatCode="&quot;$&quot;#,##0.0000_);[Red]\(&quot;$&quot;#,##0.0000\)"/>
    <numFmt numFmtId="186" formatCode="[$-409]mmmm\ d\,\ yyyy;@"/>
  </numFmts>
  <fonts count="52" x14ac:knownFonts="1">
    <font>
      <sz val="10"/>
      <name val="Arial"/>
    </font>
    <font>
      <sz val="11"/>
      <color theme="1"/>
      <name val="Calibri"/>
      <family val="2"/>
      <scheme val="minor"/>
    </font>
    <font>
      <b/>
      <sz val="10"/>
      <name val="Arial"/>
      <family val="2"/>
    </font>
    <font>
      <sz val="10"/>
      <name val="Arial"/>
      <family val="2"/>
    </font>
    <font>
      <i/>
      <sz val="10"/>
      <name val="Arial"/>
      <family val="2"/>
    </font>
    <font>
      <sz val="10"/>
      <color indexed="55"/>
      <name val="Arial"/>
      <family val="2"/>
    </font>
    <font>
      <sz val="11"/>
      <name val="Arial Black"/>
      <family val="2"/>
    </font>
    <font>
      <sz val="6"/>
      <name val="Arial"/>
      <family val="2"/>
    </font>
    <font>
      <b/>
      <sz val="18"/>
      <color indexed="18"/>
      <name val="Arial"/>
      <family val="2"/>
    </font>
    <font>
      <b/>
      <sz val="12"/>
      <color indexed="18"/>
      <name val="Arial"/>
      <family val="2"/>
    </font>
    <font>
      <b/>
      <i/>
      <sz val="10"/>
      <color indexed="18"/>
      <name val="Arial"/>
      <family val="2"/>
    </font>
    <font>
      <sz val="8"/>
      <name val="Arial"/>
      <family val="2"/>
    </font>
    <font>
      <sz val="4"/>
      <name val="Arial"/>
      <family val="2"/>
    </font>
    <font>
      <sz val="7"/>
      <name val="Arial"/>
      <family val="2"/>
    </font>
    <font>
      <b/>
      <i/>
      <sz val="13"/>
      <color indexed="18"/>
      <name val="Arial"/>
      <family val="2"/>
    </font>
    <font>
      <sz val="9"/>
      <name val="Arial"/>
      <family val="2"/>
    </font>
    <font>
      <vertAlign val="superscript"/>
      <sz val="9"/>
      <name val="Arial"/>
      <family val="2"/>
    </font>
    <font>
      <i/>
      <sz val="9"/>
      <name val="Arial"/>
      <family val="2"/>
    </font>
    <font>
      <sz val="11"/>
      <color theme="1"/>
      <name val="Calibri"/>
      <family val="2"/>
      <scheme val="minor"/>
    </font>
    <font>
      <b/>
      <sz val="10"/>
      <color indexed="18"/>
      <name val="Arial"/>
      <family val="2"/>
    </font>
    <font>
      <sz val="10"/>
      <name val="Arial"/>
      <family val="2"/>
    </font>
    <font>
      <u/>
      <sz val="10"/>
      <color theme="10"/>
      <name val="Arial"/>
      <family val="2"/>
    </font>
    <font>
      <b/>
      <i/>
      <sz val="11"/>
      <color theme="1"/>
      <name val="Arial"/>
      <family val="2"/>
    </font>
    <font>
      <sz val="10"/>
      <color rgb="FFFF0000"/>
      <name val="Arial"/>
      <family val="2"/>
    </font>
    <font>
      <sz val="10"/>
      <name val="Arial"/>
      <family val="2"/>
    </font>
    <font>
      <sz val="10"/>
      <name val="Arial Narrow"/>
      <family val="2"/>
    </font>
    <font>
      <b/>
      <sz val="10"/>
      <name val="Arial Narrow"/>
      <family val="2"/>
    </font>
    <font>
      <sz val="6"/>
      <name val="Arial Narrow"/>
      <family val="2"/>
    </font>
    <font>
      <sz val="10"/>
      <color indexed="55"/>
      <name val="Arial Narrow"/>
      <family val="2"/>
    </font>
    <font>
      <sz val="11"/>
      <name val="Arial Narrow"/>
      <family val="2"/>
    </font>
    <font>
      <b/>
      <sz val="12"/>
      <color theme="3"/>
      <name val="Arial Narrow"/>
      <family val="2"/>
    </font>
    <font>
      <b/>
      <i/>
      <sz val="10"/>
      <color theme="0" tint="-0.499984740745262"/>
      <name val="Arial Narrow"/>
      <family val="2"/>
    </font>
    <font>
      <b/>
      <u/>
      <sz val="10"/>
      <name val="Arial Narrow"/>
      <family val="2"/>
    </font>
    <font>
      <b/>
      <sz val="10"/>
      <color theme="0"/>
      <name val="Arial Narrow"/>
      <family val="2"/>
    </font>
    <font>
      <i/>
      <sz val="10"/>
      <color theme="0" tint="-0.14999847407452621"/>
      <name val="Arial Narrow"/>
      <family val="2"/>
    </font>
    <font>
      <sz val="9"/>
      <color indexed="81"/>
      <name val="Tahoma"/>
      <charset val="1"/>
    </font>
    <font>
      <u/>
      <sz val="9"/>
      <color indexed="81"/>
      <name val="Tahoma"/>
      <family val="2"/>
    </font>
    <font>
      <sz val="9"/>
      <color indexed="81"/>
      <name val="Tahoma"/>
      <family val="2"/>
    </font>
    <font>
      <b/>
      <sz val="9"/>
      <color indexed="81"/>
      <name val="Tahoma"/>
      <family val="2"/>
    </font>
    <font>
      <sz val="11"/>
      <color theme="0" tint="-0.499984740745262"/>
      <name val="Arial Black"/>
      <family val="2"/>
    </font>
    <font>
      <b/>
      <sz val="11"/>
      <name val="Arial Narrow"/>
      <family val="2"/>
    </font>
    <font>
      <b/>
      <i/>
      <sz val="10"/>
      <color theme="5" tint="-0.499984740745262"/>
      <name val="Arial"/>
      <family val="2"/>
    </font>
    <font>
      <i/>
      <u/>
      <sz val="10"/>
      <name val="Arial"/>
      <family val="2"/>
    </font>
    <font>
      <b/>
      <sz val="12"/>
      <name val="Arial Narrow"/>
      <family val="2"/>
    </font>
    <font>
      <b/>
      <i/>
      <sz val="10"/>
      <name val="Arial Narrow"/>
      <family val="2"/>
    </font>
    <font>
      <b/>
      <sz val="9"/>
      <name val="Arial Narrow"/>
      <family val="2"/>
    </font>
    <font>
      <sz val="10"/>
      <color theme="0" tint="-0.499984740745262"/>
      <name val="Arial Narrow"/>
      <family val="2"/>
    </font>
    <font>
      <i/>
      <sz val="10"/>
      <name val="Arial Narrow"/>
      <family val="2"/>
    </font>
    <font>
      <sz val="10"/>
      <color rgb="FFFF0000"/>
      <name val="Arial Narrow"/>
      <family val="2"/>
    </font>
    <font>
      <b/>
      <u/>
      <sz val="9"/>
      <name val="Arial Narrow"/>
      <family val="2"/>
    </font>
    <font>
      <b/>
      <i/>
      <sz val="11"/>
      <color rgb="FF000000"/>
      <name val="Arial"/>
    </font>
    <font>
      <b/>
      <i/>
      <vertAlign val="superscript"/>
      <sz val="11"/>
      <color rgb="FF000000"/>
      <name val="Arial"/>
    </font>
  </fonts>
  <fills count="2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0.249977111117893"/>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s>
  <cellStyleXfs count="14">
    <xf numFmtId="0" fontId="0" fillId="0" borderId="0"/>
    <xf numFmtId="0" fontId="11" fillId="0" borderId="0"/>
    <xf numFmtId="0" fontId="3" fillId="0" borderId="0"/>
    <xf numFmtId="0" fontId="8" fillId="0" borderId="0"/>
    <xf numFmtId="0" fontId="9" fillId="0" borderId="0"/>
    <xf numFmtId="0" fontId="10" fillId="0" borderId="0">
      <alignment vertical="top"/>
    </xf>
    <xf numFmtId="0" fontId="18" fillId="0" borderId="0"/>
    <xf numFmtId="9" fontId="18" fillId="0" borderId="0" applyFont="0" applyFill="0" applyBorder="0" applyAlignment="0" applyProtection="0"/>
    <xf numFmtId="0" fontId="3" fillId="0" borderId="0"/>
    <xf numFmtId="168" fontId="20" fillId="0" borderId="0" applyFont="0" applyFill="0" applyBorder="0" applyAlignment="0" applyProtection="0"/>
    <xf numFmtId="9" fontId="20" fillId="0" borderId="0" applyFont="0" applyFill="0" applyBorder="0" applyAlignment="0" applyProtection="0"/>
    <xf numFmtId="0" fontId="21" fillId="0" borderId="0" applyNumberFormat="0" applyFill="0" applyBorder="0" applyAlignment="0" applyProtection="0"/>
    <xf numFmtId="169" fontId="24" fillId="0" borderId="0" applyFont="0" applyFill="0" applyBorder="0" applyAlignment="0" applyProtection="0"/>
    <xf numFmtId="0" fontId="1" fillId="0" borderId="0"/>
  </cellStyleXfs>
  <cellXfs count="318">
    <xf numFmtId="0" fontId="0" fillId="0" borderId="0" xfId="0"/>
    <xf numFmtId="0" fontId="14" fillId="0" borderId="0" xfId="5" applyFont="1">
      <alignment vertical="top"/>
    </xf>
    <xf numFmtId="0" fontId="9" fillId="0" borderId="0" xfId="4"/>
    <xf numFmtId="0" fontId="7" fillId="0" borderId="0" xfId="0" applyFont="1"/>
    <xf numFmtId="0" fontId="2" fillId="0" borderId="0" xfId="0" applyFont="1"/>
    <xf numFmtId="0" fontId="2" fillId="0" borderId="0" xfId="0" applyFont="1" applyAlignment="1">
      <alignment horizontal="center"/>
    </xf>
    <xf numFmtId="164" fontId="0" fillId="0" borderId="0" xfId="0" applyNumberFormat="1"/>
    <xf numFmtId="0" fontId="0" fillId="0" borderId="0" xfId="0" applyAlignment="1">
      <alignment horizontal="center"/>
    </xf>
    <xf numFmtId="164" fontId="2" fillId="0" borderId="0" xfId="0" applyNumberFormat="1" applyFont="1"/>
    <xf numFmtId="0" fontId="0" fillId="0" borderId="1" xfId="0" quotePrefix="1" applyBorder="1"/>
    <xf numFmtId="0" fontId="0" fillId="0" borderId="2" xfId="0" applyBorder="1"/>
    <xf numFmtId="0" fontId="0" fillId="0" borderId="2" xfId="0" quotePrefix="1" applyBorder="1"/>
    <xf numFmtId="0" fontId="0" fillId="0" borderId="4" xfId="0" applyBorder="1"/>
    <xf numFmtId="0" fontId="0" fillId="0" borderId="4" xfId="0" quotePrefix="1" applyBorder="1"/>
    <xf numFmtId="0" fontId="0" fillId="0" borderId="5" xfId="0" quotePrefix="1" applyBorder="1"/>
    <xf numFmtId="0" fontId="0" fillId="0" borderId="0" xfId="0" quotePrefix="1"/>
    <xf numFmtId="0" fontId="0" fillId="0" borderId="7" xfId="0" applyBorder="1"/>
    <xf numFmtId="0" fontId="0" fillId="0" borderId="7" xfId="0" quotePrefix="1" applyBorder="1"/>
    <xf numFmtId="0" fontId="0" fillId="0" borderId="8" xfId="0" applyBorder="1"/>
    <xf numFmtId="0" fontId="0" fillId="0" borderId="8" xfId="0" quotePrefix="1" applyBorder="1"/>
    <xf numFmtId="0" fontId="0" fillId="0" borderId="9" xfId="0" quotePrefix="1" applyBorder="1"/>
    <xf numFmtId="0" fontId="2" fillId="0" borderId="1" xfId="0" applyFont="1" applyBorder="1"/>
    <xf numFmtId="0" fontId="2" fillId="0" borderId="2" xfId="0" applyFont="1" applyBorder="1"/>
    <xf numFmtId="170" fontId="2" fillId="0" borderId="2" xfId="0" applyNumberFormat="1" applyFont="1" applyBorder="1"/>
    <xf numFmtId="0" fontId="4" fillId="0" borderId="3" xfId="0" applyFont="1" applyBorder="1"/>
    <xf numFmtId="0" fontId="4" fillId="0" borderId="4" xfId="0" applyFont="1" applyBorder="1"/>
    <xf numFmtId="170" fontId="4" fillId="0" borderId="4" xfId="0" applyNumberFormat="1" applyFont="1" applyBorder="1"/>
    <xf numFmtId="0" fontId="4" fillId="0" borderId="10" xfId="0" applyFont="1" applyBorder="1"/>
    <xf numFmtId="0" fontId="4" fillId="0" borderId="11" xfId="0" applyFont="1" applyBorder="1"/>
    <xf numFmtId="170" fontId="4" fillId="0" borderId="11" xfId="0" applyNumberFormat="1" applyFont="1" applyBorder="1"/>
    <xf numFmtId="0" fontId="5" fillId="0" borderId="0" xfId="0" applyFont="1" applyAlignment="1">
      <alignment horizontal="left" indent="2"/>
    </xf>
    <xf numFmtId="0" fontId="0" fillId="0" borderId="0" xfId="0" applyAlignment="1">
      <alignment horizontal="left" indent="1"/>
    </xf>
    <xf numFmtId="171" fontId="0" fillId="0" borderId="0" xfId="0" applyNumberFormat="1" applyAlignment="1">
      <alignment horizontal="right"/>
    </xf>
    <xf numFmtId="3" fontId="0" fillId="0" borderId="0" xfId="0" applyNumberFormat="1" applyAlignment="1">
      <alignment horizontal="right"/>
    </xf>
    <xf numFmtId="172" fontId="0" fillId="0" borderId="0" xfId="0" applyNumberFormat="1" applyAlignment="1">
      <alignment horizontal="right"/>
    </xf>
    <xf numFmtId="164" fontId="2" fillId="0" borderId="0" xfId="0" applyNumberFormat="1" applyFont="1" applyAlignment="1">
      <alignment horizontal="center"/>
    </xf>
    <xf numFmtId="0" fontId="3" fillId="0" borderId="0" xfId="0" applyFont="1"/>
    <xf numFmtId="0" fontId="2" fillId="0" borderId="0" xfId="0" applyFont="1" applyAlignment="1">
      <alignment horizontal="right"/>
    </xf>
    <xf numFmtId="171" fontId="4" fillId="0" borderId="4" xfId="0" applyNumberFormat="1" applyFont="1" applyBorder="1" applyAlignment="1">
      <alignment horizontal="right"/>
    </xf>
    <xf numFmtId="3" fontId="0" fillId="0" borderId="7" xfId="0" applyNumberFormat="1" applyBorder="1" applyAlignment="1">
      <alignment horizontal="right"/>
    </xf>
    <xf numFmtId="171" fontId="4" fillId="0" borderId="11" xfId="0" applyNumberFormat="1" applyFont="1" applyBorder="1" applyAlignment="1">
      <alignment horizontal="right"/>
    </xf>
    <xf numFmtId="171" fontId="0" fillId="0" borderId="8" xfId="0" applyNumberFormat="1" applyBorder="1" applyAlignment="1">
      <alignment horizontal="right"/>
    </xf>
    <xf numFmtId="3" fontId="0" fillId="0" borderId="2" xfId="0" applyNumberFormat="1" applyBorder="1" applyAlignment="1">
      <alignment horizontal="right"/>
    </xf>
    <xf numFmtId="171" fontId="0" fillId="0" borderId="4" xfId="0" applyNumberFormat="1" applyBorder="1" applyAlignment="1">
      <alignment horizontal="right"/>
    </xf>
    <xf numFmtId="171" fontId="2" fillId="0" borderId="2" xfId="0" applyNumberFormat="1" applyFont="1" applyBorder="1" applyAlignment="1">
      <alignment horizontal="right"/>
    </xf>
    <xf numFmtId="0" fontId="0" fillId="0" borderId="2" xfId="0" quotePrefix="1" applyBorder="1" applyAlignment="1">
      <alignment horizontal="left"/>
    </xf>
    <xf numFmtId="0" fontId="0" fillId="0" borderId="2" xfId="0" applyBorder="1" applyAlignment="1">
      <alignment horizontal="right"/>
    </xf>
    <xf numFmtId="174" fontId="0" fillId="0" borderId="2" xfId="0" applyNumberFormat="1" applyBorder="1" applyAlignment="1">
      <alignment horizontal="right"/>
    </xf>
    <xf numFmtId="164" fontId="4" fillId="0" borderId="12" xfId="0" applyNumberFormat="1" applyFont="1" applyBorder="1" applyAlignment="1">
      <alignment horizontal="right"/>
    </xf>
    <xf numFmtId="164" fontId="0" fillId="0" borderId="13" xfId="0" applyNumberFormat="1" applyBorder="1" applyAlignment="1">
      <alignment horizontal="right"/>
    </xf>
    <xf numFmtId="164" fontId="0" fillId="0" borderId="14" xfId="0" applyNumberFormat="1" applyBorder="1" applyAlignment="1">
      <alignment horizontal="right"/>
    </xf>
    <xf numFmtId="164" fontId="4" fillId="0" borderId="15" xfId="0" applyNumberFormat="1" applyFont="1" applyBorder="1" applyAlignment="1">
      <alignment horizontal="right"/>
    </xf>
    <xf numFmtId="164" fontId="0" fillId="0" borderId="16" xfId="0" applyNumberFormat="1" applyBorder="1" applyAlignment="1">
      <alignment horizontal="right"/>
    </xf>
    <xf numFmtId="164" fontId="0" fillId="0" borderId="17" xfId="0" applyNumberFormat="1" applyBorder="1" applyAlignment="1">
      <alignment horizontal="right"/>
    </xf>
    <xf numFmtId="164" fontId="0" fillId="0" borderId="12" xfId="0" applyNumberFormat="1" applyBorder="1" applyAlignment="1">
      <alignment horizontal="right"/>
    </xf>
    <xf numFmtId="164" fontId="2" fillId="0" borderId="17" xfId="0" applyNumberFormat="1" applyFont="1" applyBorder="1" applyAlignment="1">
      <alignment horizontal="right"/>
    </xf>
    <xf numFmtId="173" fontId="0" fillId="0" borderId="2" xfId="0" applyNumberFormat="1" applyBorder="1" applyAlignment="1">
      <alignment horizontal="center"/>
    </xf>
    <xf numFmtId="0" fontId="3" fillId="0" borderId="0" xfId="2"/>
    <xf numFmtId="0" fontId="3" fillId="0" borderId="0" xfId="2" applyAlignment="1">
      <alignment vertical="center"/>
    </xf>
    <xf numFmtId="0" fontId="11" fillId="0" borderId="0" xfId="1"/>
    <xf numFmtId="0" fontId="12" fillId="0" borderId="0" xfId="1" applyFont="1"/>
    <xf numFmtId="0" fontId="13" fillId="0" borderId="0" xfId="1" applyFont="1"/>
    <xf numFmtId="0" fontId="15" fillId="0" borderId="0" xfId="0" applyFont="1"/>
    <xf numFmtId="0" fontId="15" fillId="0" borderId="0" xfId="2" applyFont="1"/>
    <xf numFmtId="0" fontId="3" fillId="0" borderId="0" xfId="1" applyFont="1"/>
    <xf numFmtId="0" fontId="10" fillId="0" borderId="0" xfId="5">
      <alignment vertical="top"/>
    </xf>
    <xf numFmtId="0" fontId="12" fillId="0" borderId="0" xfId="0" applyFont="1"/>
    <xf numFmtId="14" fontId="3" fillId="0" borderId="18" xfId="2" quotePrefix="1" applyNumberFormat="1" applyBorder="1" applyAlignment="1">
      <alignment vertical="center"/>
    </xf>
    <xf numFmtId="0" fontId="3" fillId="0" borderId="1" xfId="2" applyBorder="1" applyAlignment="1">
      <alignment horizontal="left" vertical="center"/>
    </xf>
    <xf numFmtId="0" fontId="3" fillId="0" borderId="2" xfId="2" applyBorder="1" applyAlignment="1">
      <alignment horizontal="left" vertical="center"/>
    </xf>
    <xf numFmtId="0" fontId="3" fillId="0" borderId="17" xfId="2" applyBorder="1" applyAlignment="1">
      <alignment horizontal="left" vertical="center"/>
    </xf>
    <xf numFmtId="0" fontId="18" fillId="0" borderId="0" xfId="6"/>
    <xf numFmtId="15" fontId="18" fillId="0" borderId="0" xfId="6" applyNumberFormat="1"/>
    <xf numFmtId="167" fontId="18" fillId="0" borderId="0" xfId="6" applyNumberFormat="1"/>
    <xf numFmtId="10" fontId="18" fillId="0" borderId="0" xfId="7" applyNumberFormat="1"/>
    <xf numFmtId="10" fontId="18" fillId="0" borderId="0" xfId="6" applyNumberFormat="1"/>
    <xf numFmtId="176" fontId="18" fillId="0" borderId="0" xfId="6" applyNumberFormat="1"/>
    <xf numFmtId="170" fontId="0" fillId="0" borderId="2" xfId="0" applyNumberFormat="1" applyBorder="1"/>
    <xf numFmtId="170" fontId="0" fillId="0" borderId="0" xfId="0" applyNumberFormat="1"/>
    <xf numFmtId="170" fontId="0" fillId="0" borderId="8" xfId="0" applyNumberFormat="1" applyBorder="1"/>
    <xf numFmtId="175" fontId="0" fillId="0" borderId="2" xfId="0" applyNumberFormat="1" applyBorder="1"/>
    <xf numFmtId="170" fontId="0" fillId="0" borderId="4" xfId="0" applyNumberFormat="1" applyBorder="1"/>
    <xf numFmtId="0" fontId="3" fillId="0" borderId="0" xfId="0" applyFont="1" applyAlignment="1">
      <alignment horizontal="center"/>
    </xf>
    <xf numFmtId="170" fontId="0" fillId="0" borderId="0" xfId="0" applyNumberFormat="1" applyAlignment="1">
      <alignment horizontal="right"/>
    </xf>
    <xf numFmtId="10" fontId="0" fillId="0" borderId="0" xfId="0" applyNumberFormat="1" applyAlignment="1">
      <alignment horizontal="right"/>
    </xf>
    <xf numFmtId="0" fontId="2" fillId="0" borderId="18" xfId="2" applyFont="1" applyBorder="1" applyAlignment="1">
      <alignment horizontal="center" vertical="center"/>
    </xf>
    <xf numFmtId="0" fontId="2" fillId="0" borderId="2" xfId="2" applyFont="1" applyBorder="1" applyAlignment="1">
      <alignment horizontal="centerContinuous" vertical="center"/>
    </xf>
    <xf numFmtId="0" fontId="2" fillId="0" borderId="17" xfId="2" applyFont="1" applyBorder="1" applyAlignment="1">
      <alignment horizontal="centerContinuous" vertical="center"/>
    </xf>
    <xf numFmtId="0" fontId="2" fillId="0" borderId="1" xfId="2" applyFont="1" applyBorder="1" applyAlignment="1">
      <alignment horizontal="left" vertical="center"/>
    </xf>
    <xf numFmtId="0" fontId="15" fillId="0" borderId="0" xfId="8" applyFont="1"/>
    <xf numFmtId="0" fontId="19" fillId="0" borderId="0" xfId="4" applyFont="1"/>
    <xf numFmtId="0" fontId="3" fillId="0" borderId="0" xfId="8"/>
    <xf numFmtId="0" fontId="4" fillId="0" borderId="0" xfId="8" applyFont="1"/>
    <xf numFmtId="0" fontId="4" fillId="0" borderId="0" xfId="2" applyFont="1"/>
    <xf numFmtId="15" fontId="18" fillId="3" borderId="0" xfId="6" applyNumberFormat="1" applyFill="1"/>
    <xf numFmtId="0" fontId="3" fillId="0" borderId="0" xfId="0" applyFont="1" applyAlignment="1">
      <alignment horizontal="left" indent="1"/>
    </xf>
    <xf numFmtId="170" fontId="4" fillId="0" borderId="3" xfId="0" applyNumberFormat="1" applyFont="1" applyBorder="1"/>
    <xf numFmtId="170" fontId="0" fillId="0" borderId="5" xfId="0" applyNumberFormat="1" applyBorder="1"/>
    <xf numFmtId="170" fontId="4" fillId="0" borderId="10" xfId="0" applyNumberFormat="1" applyFont="1" applyBorder="1"/>
    <xf numFmtId="170" fontId="0" fillId="0" borderId="9" xfId="0" applyNumberFormat="1" applyBorder="1"/>
    <xf numFmtId="0" fontId="2" fillId="0" borderId="5" xfId="0" applyFont="1" applyBorder="1"/>
    <xf numFmtId="174" fontId="0" fillId="0" borderId="1" xfId="0" applyNumberFormat="1" applyBorder="1" applyAlignment="1">
      <alignment horizontal="right"/>
    </xf>
    <xf numFmtId="175" fontId="0" fillId="0" borderId="1" xfId="0" applyNumberFormat="1" applyBorder="1"/>
    <xf numFmtId="170" fontId="0" fillId="0" borderId="1" xfId="0" applyNumberFormat="1" applyBorder="1"/>
    <xf numFmtId="170" fontId="0" fillId="0" borderId="3" xfId="0" applyNumberFormat="1" applyBorder="1"/>
    <xf numFmtId="179" fontId="0" fillId="0" borderId="0" xfId="0" applyNumberFormat="1" applyAlignment="1">
      <alignment horizontal="right"/>
    </xf>
    <xf numFmtId="180" fontId="0" fillId="0" borderId="0" xfId="10" applyNumberFormat="1" applyFont="1"/>
    <xf numFmtId="179" fontId="0" fillId="0" borderId="0" xfId="0" applyNumberFormat="1"/>
    <xf numFmtId="0" fontId="0" fillId="0" borderId="0" xfId="0" applyAlignment="1">
      <alignment horizontal="right"/>
    </xf>
    <xf numFmtId="0" fontId="5" fillId="0" borderId="0" xfId="0" applyFont="1"/>
    <xf numFmtId="177" fontId="0" fillId="0" borderId="0" xfId="0" applyNumberFormat="1" applyAlignment="1">
      <alignment horizontal="right"/>
    </xf>
    <xf numFmtId="0" fontId="0" fillId="0" borderId="5" xfId="0" applyBorder="1"/>
    <xf numFmtId="0" fontId="0" fillId="0" borderId="9" xfId="0" applyBorder="1"/>
    <xf numFmtId="170" fontId="2" fillId="0" borderId="1" xfId="0" applyNumberFormat="1" applyFont="1" applyBorder="1"/>
    <xf numFmtId="0" fontId="0" fillId="0" borderId="3" xfId="0" applyBorder="1"/>
    <xf numFmtId="0" fontId="0" fillId="0" borderId="6" xfId="0" quotePrefix="1" applyBorder="1"/>
    <xf numFmtId="0" fontId="2" fillId="4" borderId="0" xfId="0" applyFont="1" applyFill="1"/>
    <xf numFmtId="181" fontId="0" fillId="4" borderId="0" xfId="10" applyNumberFormat="1" applyFont="1" applyFill="1"/>
    <xf numFmtId="0" fontId="10" fillId="4" borderId="0" xfId="5" applyFill="1">
      <alignment vertical="top"/>
    </xf>
    <xf numFmtId="0" fontId="3" fillId="4" borderId="0" xfId="2" applyFill="1"/>
    <xf numFmtId="0" fontId="21" fillId="0" borderId="0" xfId="11"/>
    <xf numFmtId="0" fontId="2" fillId="0" borderId="0" xfId="2" applyFont="1"/>
    <xf numFmtId="164" fontId="0" fillId="0" borderId="4" xfId="0" applyNumberFormat="1" applyBorder="1"/>
    <xf numFmtId="0" fontId="2" fillId="0" borderId="8" xfId="0" applyFont="1" applyBorder="1"/>
    <xf numFmtId="0" fontId="2" fillId="0" borderId="8" xfId="0" applyFont="1" applyBorder="1" applyAlignment="1">
      <alignment horizontal="right"/>
    </xf>
    <xf numFmtId="171" fontId="3" fillId="0" borderId="0" xfId="0" applyNumberFormat="1" applyFont="1" applyAlignment="1">
      <alignment horizontal="right"/>
    </xf>
    <xf numFmtId="0" fontId="3" fillId="0" borderId="19" xfId="0" applyFont="1" applyBorder="1" applyAlignment="1">
      <alignment horizontal="right"/>
    </xf>
    <xf numFmtId="0" fontId="3" fillId="0" borderId="20" xfId="0" applyFont="1" applyBorder="1" applyAlignment="1">
      <alignment horizontal="center"/>
    </xf>
    <xf numFmtId="0" fontId="0" fillId="0" borderId="21" xfId="0" applyBorder="1"/>
    <xf numFmtId="0" fontId="0" fillId="0" borderId="22" xfId="0" applyBorder="1" applyAlignment="1">
      <alignment horizontal="center"/>
    </xf>
    <xf numFmtId="0" fontId="0" fillId="0" borderId="23" xfId="0" applyBorder="1"/>
    <xf numFmtId="0" fontId="0" fillId="0" borderId="24" xfId="0" applyBorder="1" applyAlignment="1">
      <alignment horizontal="center"/>
    </xf>
    <xf numFmtId="0" fontId="0" fillId="4" borderId="0" xfId="0" applyFill="1"/>
    <xf numFmtId="0" fontId="4" fillId="4" borderId="0" xfId="2" applyFont="1" applyFill="1"/>
    <xf numFmtId="0" fontId="3" fillId="0" borderId="0" xfId="2" applyAlignment="1">
      <alignment horizontal="left"/>
    </xf>
    <xf numFmtId="164" fontId="2" fillId="0" borderId="8" xfId="0" applyNumberFormat="1" applyFont="1" applyBorder="1"/>
    <xf numFmtId="0" fontId="2" fillId="0" borderId="4" xfId="0" applyFont="1" applyBorder="1"/>
    <xf numFmtId="0" fontId="2" fillId="0" borderId="4" xfId="0" applyFont="1" applyBorder="1" applyAlignment="1">
      <alignment horizontal="right"/>
    </xf>
    <xf numFmtId="166" fontId="0" fillId="0" borderId="0" xfId="0" applyNumberFormat="1" applyAlignment="1">
      <alignment horizontal="right"/>
    </xf>
    <xf numFmtId="166" fontId="0" fillId="0" borderId="5" xfId="0" applyNumberFormat="1" applyBorder="1" applyAlignment="1">
      <alignment horizontal="right"/>
    </xf>
    <xf numFmtId="166" fontId="0" fillId="0" borderId="9" xfId="0" applyNumberFormat="1" applyBorder="1" applyAlignment="1">
      <alignment horizontal="right"/>
    </xf>
    <xf numFmtId="0" fontId="0" fillId="5" borderId="0" xfId="0" applyFill="1"/>
    <xf numFmtId="0" fontId="3" fillId="6" borderId="0" xfId="2" applyFill="1"/>
    <xf numFmtId="0" fontId="4" fillId="6" borderId="0" xfId="2" applyFont="1" applyFill="1"/>
    <xf numFmtId="0" fontId="6" fillId="7" borderId="0" xfId="0" applyFont="1" applyFill="1"/>
    <xf numFmtId="181" fontId="6" fillId="7" borderId="0" xfId="0" applyNumberFormat="1" applyFont="1" applyFill="1"/>
    <xf numFmtId="166" fontId="2" fillId="7" borderId="1" xfId="0" applyNumberFormat="1" applyFont="1" applyFill="1" applyBorder="1"/>
    <xf numFmtId="0" fontId="2" fillId="7" borderId="2" xfId="0" applyFont="1" applyFill="1" applyBorder="1"/>
    <xf numFmtId="3" fontId="3" fillId="7" borderId="2" xfId="0" applyNumberFormat="1" applyFont="1" applyFill="1" applyBorder="1"/>
    <xf numFmtId="0" fontId="3" fillId="7" borderId="2" xfId="0" applyFont="1" applyFill="1" applyBorder="1"/>
    <xf numFmtId="164" fontId="2" fillId="7" borderId="17" xfId="0" applyNumberFormat="1" applyFont="1" applyFill="1" applyBorder="1" applyAlignment="1">
      <alignment horizontal="right"/>
    </xf>
    <xf numFmtId="0" fontId="6" fillId="6" borderId="0" xfId="0" applyFont="1" applyFill="1"/>
    <xf numFmtId="181" fontId="6" fillId="6" borderId="0" xfId="0" applyNumberFormat="1" applyFont="1" applyFill="1"/>
    <xf numFmtId="170" fontId="2" fillId="6" borderId="1" xfId="0" applyNumberFormat="1" applyFont="1" applyFill="1" applyBorder="1"/>
    <xf numFmtId="0" fontId="2" fillId="6" borderId="2" xfId="0" applyFont="1" applyFill="1" applyBorder="1"/>
    <xf numFmtId="171" fontId="2" fillId="6" borderId="2" xfId="0" applyNumberFormat="1" applyFont="1" applyFill="1" applyBorder="1" applyAlignment="1">
      <alignment horizontal="right"/>
    </xf>
    <xf numFmtId="164" fontId="2" fillId="6" borderId="17" xfId="0" applyNumberFormat="1" applyFont="1" applyFill="1" applyBorder="1" applyAlignment="1">
      <alignment horizontal="right"/>
    </xf>
    <xf numFmtId="0" fontId="2" fillId="5" borderId="1" xfId="0" applyFont="1" applyFill="1" applyBorder="1"/>
    <xf numFmtId="0" fontId="0" fillId="5" borderId="2" xfId="0" applyFill="1" applyBorder="1"/>
    <xf numFmtId="0" fontId="0" fillId="5" borderId="17" xfId="0" applyFill="1" applyBorder="1"/>
    <xf numFmtId="168" fontId="0" fillId="0" borderId="0" xfId="0" applyNumberFormat="1"/>
    <xf numFmtId="167" fontId="18" fillId="9" borderId="0" xfId="6" applyNumberFormat="1" applyFill="1"/>
    <xf numFmtId="0" fontId="2" fillId="0" borderId="0" xfId="0" applyFont="1" applyAlignment="1">
      <alignment horizontal="left"/>
    </xf>
    <xf numFmtId="183" fontId="18" fillId="0" borderId="0" xfId="6" applyNumberFormat="1"/>
    <xf numFmtId="165" fontId="18" fillId="0" borderId="0" xfId="6" applyNumberFormat="1"/>
    <xf numFmtId="0" fontId="2" fillId="10" borderId="1" xfId="0" applyFont="1" applyFill="1" applyBorder="1"/>
    <xf numFmtId="0" fontId="0" fillId="10" borderId="2" xfId="0" applyFill="1" applyBorder="1"/>
    <xf numFmtId="0" fontId="0" fillId="10" borderId="17" xfId="0" applyFill="1" applyBorder="1"/>
    <xf numFmtId="167" fontId="18" fillId="0" borderId="19" xfId="6" applyNumberFormat="1" applyBorder="1"/>
    <xf numFmtId="167" fontId="18" fillId="0" borderId="23" xfId="6" applyNumberFormat="1" applyBorder="1"/>
    <xf numFmtId="0" fontId="2" fillId="0" borderId="3" xfId="0" applyFont="1" applyBorder="1"/>
    <xf numFmtId="164" fontId="2" fillId="0" borderId="12" xfId="0" applyNumberFormat="1" applyFont="1" applyBorder="1"/>
    <xf numFmtId="164" fontId="2" fillId="0" borderId="13" xfId="0" applyNumberFormat="1" applyFont="1" applyBorder="1"/>
    <xf numFmtId="0" fontId="2" fillId="5" borderId="0" xfId="0" applyFont="1" applyFill="1"/>
    <xf numFmtId="181" fontId="0" fillId="5" borderId="0" xfId="10" applyNumberFormat="1" applyFont="1" applyFill="1"/>
    <xf numFmtId="0" fontId="2" fillId="12" borderId="0" xfId="0" applyFont="1" applyFill="1"/>
    <xf numFmtId="164" fontId="2" fillId="12" borderId="0" xfId="0" applyNumberFormat="1" applyFont="1" applyFill="1" applyAlignment="1">
      <alignment horizontal="right"/>
    </xf>
    <xf numFmtId="0" fontId="0" fillId="12" borderId="0" xfId="0" applyFill="1"/>
    <xf numFmtId="181" fontId="0" fillId="12" borderId="0" xfId="10" applyNumberFormat="1" applyFont="1" applyFill="1"/>
    <xf numFmtId="0" fontId="2" fillId="6" borderId="1" xfId="0" applyFont="1" applyFill="1" applyBorder="1"/>
    <xf numFmtId="170" fontId="2" fillId="6" borderId="2" xfId="0" applyNumberFormat="1" applyFont="1" applyFill="1" applyBorder="1"/>
    <xf numFmtId="0" fontId="2" fillId="13" borderId="1" xfId="0" applyFont="1" applyFill="1" applyBorder="1"/>
    <xf numFmtId="0" fontId="2" fillId="13" borderId="2" xfId="0" applyFont="1" applyFill="1" applyBorder="1"/>
    <xf numFmtId="166" fontId="2" fillId="13" borderId="2" xfId="0" applyNumberFormat="1" applyFont="1" applyFill="1" applyBorder="1"/>
    <xf numFmtId="171" fontId="2" fillId="13" borderId="2" xfId="0" applyNumberFormat="1" applyFont="1" applyFill="1" applyBorder="1"/>
    <xf numFmtId="3" fontId="2" fillId="13" borderId="2" xfId="0" applyNumberFormat="1" applyFont="1" applyFill="1" applyBorder="1"/>
    <xf numFmtId="164" fontId="2" fillId="13" borderId="17" xfId="0" applyNumberFormat="1" applyFont="1" applyFill="1" applyBorder="1" applyAlignment="1">
      <alignment horizontal="right"/>
    </xf>
    <xf numFmtId="0" fontId="4" fillId="0" borderId="19" xfId="0" applyFont="1" applyBorder="1"/>
    <xf numFmtId="0" fontId="4" fillId="0" borderId="25" xfId="0" applyFont="1" applyBorder="1"/>
    <xf numFmtId="164" fontId="4" fillId="0" borderId="20" xfId="0" applyNumberFormat="1" applyFont="1" applyBorder="1"/>
    <xf numFmtId="0" fontId="4" fillId="0" borderId="21" xfId="0" applyFont="1" applyBorder="1"/>
    <xf numFmtId="0" fontId="4" fillId="0" borderId="0" xfId="0" applyFont="1"/>
    <xf numFmtId="0" fontId="4" fillId="0" borderId="22" xfId="0" applyFont="1" applyBorder="1"/>
    <xf numFmtId="164" fontId="4" fillId="0" borderId="22" xfId="0" applyNumberFormat="1" applyFont="1" applyBorder="1"/>
    <xf numFmtId="0" fontId="4" fillId="0" borderId="23" xfId="0" applyFont="1" applyBorder="1"/>
    <xf numFmtId="0" fontId="4" fillId="0" borderId="26" xfId="0" applyFont="1" applyBorder="1"/>
    <xf numFmtId="164" fontId="4" fillId="0" borderId="27" xfId="0" applyNumberFormat="1" applyFont="1" applyBorder="1"/>
    <xf numFmtId="0" fontId="25" fillId="0" borderId="0" xfId="0" applyFont="1"/>
    <xf numFmtId="182" fontId="25" fillId="0" borderId="0" xfId="0" applyNumberFormat="1" applyFont="1" applyAlignment="1">
      <alignment horizontal="left"/>
    </xf>
    <xf numFmtId="0" fontId="26" fillId="0" borderId="0" xfId="0" applyFont="1" applyAlignment="1">
      <alignment horizontal="left"/>
    </xf>
    <xf numFmtId="0" fontId="27" fillId="0" borderId="0" xfId="0" applyFont="1"/>
    <xf numFmtId="0" fontId="25" fillId="0" borderId="0" xfId="0" applyFont="1" applyAlignment="1">
      <alignment horizontal="left" indent="1"/>
    </xf>
    <xf numFmtId="177" fontId="25" fillId="0" borderId="0" xfId="0" quotePrefix="1" applyNumberFormat="1" applyFont="1" applyAlignment="1">
      <alignment horizontal="right"/>
    </xf>
    <xf numFmtId="0" fontId="28" fillId="0" borderId="0" xfId="0" applyFont="1" applyAlignment="1">
      <alignment horizontal="left" indent="2"/>
    </xf>
    <xf numFmtId="0" fontId="28" fillId="0" borderId="0" xfId="0" quotePrefix="1" applyFont="1"/>
    <xf numFmtId="0" fontId="30" fillId="8" borderId="0" xfId="0" applyFont="1" applyFill="1" applyAlignment="1">
      <alignment horizontal="center"/>
    </xf>
    <xf numFmtId="3" fontId="30" fillId="8" borderId="0" xfId="0" applyNumberFormat="1" applyFont="1" applyFill="1"/>
    <xf numFmtId="3" fontId="30" fillId="11" borderId="0" xfId="0" applyNumberFormat="1" applyFont="1" applyFill="1"/>
    <xf numFmtId="3" fontId="30" fillId="14" borderId="0" xfId="0" applyNumberFormat="1" applyFont="1" applyFill="1"/>
    <xf numFmtId="3" fontId="30" fillId="15" borderId="0" xfId="0" applyNumberFormat="1" applyFont="1" applyFill="1"/>
    <xf numFmtId="0" fontId="30" fillId="11" borderId="0" xfId="0" applyFont="1" applyFill="1" applyAlignment="1">
      <alignment horizontal="center"/>
    </xf>
    <xf numFmtId="0" fontId="30" fillId="14" borderId="0" xfId="0" applyFont="1" applyFill="1" applyAlignment="1">
      <alignment horizontal="center"/>
    </xf>
    <xf numFmtId="0" fontId="30" fillId="3" borderId="0" xfId="0" applyFont="1" applyFill="1" applyAlignment="1">
      <alignment horizontal="center"/>
    </xf>
    <xf numFmtId="0" fontId="29" fillId="0" borderId="0" xfId="0" applyFont="1"/>
    <xf numFmtId="0" fontId="26" fillId="0" borderId="8" xfId="0" applyFont="1" applyBorder="1" applyAlignment="1">
      <alignment horizontal="center" wrapText="1"/>
    </xf>
    <xf numFmtId="0" fontId="25" fillId="0" borderId="8" xfId="0" applyFont="1" applyBorder="1"/>
    <xf numFmtId="182" fontId="26" fillId="0" borderId="8" xfId="0" applyNumberFormat="1" applyFont="1" applyBorder="1" applyAlignment="1">
      <alignment horizontal="center" vertical="center" wrapText="1"/>
    </xf>
    <xf numFmtId="182" fontId="26" fillId="0" borderId="8" xfId="0" applyNumberFormat="1" applyFont="1" applyBorder="1" applyAlignment="1">
      <alignment horizontal="center" wrapText="1"/>
    </xf>
    <xf numFmtId="182" fontId="31" fillId="0" borderId="8" xfId="0" applyNumberFormat="1" applyFont="1" applyBorder="1" applyAlignment="1">
      <alignment horizontal="center" wrapText="1"/>
    </xf>
    <xf numFmtId="171" fontId="25" fillId="0" borderId="0" xfId="9" applyNumberFormat="1" applyFont="1" applyAlignment="1">
      <alignment horizontal="center"/>
    </xf>
    <xf numFmtId="3" fontId="25" fillId="0" borderId="0" xfId="9" applyNumberFormat="1" applyFont="1"/>
    <xf numFmtId="180" fontId="25" fillId="0" borderId="0" xfId="10" applyNumberFormat="1" applyFont="1"/>
    <xf numFmtId="178" fontId="25" fillId="0" borderId="0" xfId="9" applyNumberFormat="1" applyFont="1" applyAlignment="1">
      <alignment horizontal="left"/>
    </xf>
    <xf numFmtId="178" fontId="25" fillId="0" borderId="0" xfId="9" applyNumberFormat="1" applyFont="1" applyAlignment="1">
      <alignment horizontal="center"/>
    </xf>
    <xf numFmtId="181" fontId="25" fillId="0" borderId="0" xfId="10" quotePrefix="1" applyNumberFormat="1" applyFont="1" applyAlignment="1">
      <alignment horizontal="center"/>
    </xf>
    <xf numFmtId="181" fontId="25" fillId="0" borderId="0" xfId="10" applyNumberFormat="1" applyFont="1"/>
    <xf numFmtId="3" fontId="25" fillId="0" borderId="0" xfId="0" applyNumberFormat="1" applyFont="1"/>
    <xf numFmtId="171" fontId="25" fillId="16" borderId="0" xfId="9" applyNumberFormat="1" applyFont="1" applyFill="1" applyAlignment="1">
      <alignment horizontal="center"/>
    </xf>
    <xf numFmtId="0" fontId="33" fillId="0" borderId="0" xfId="0" applyFont="1" applyAlignment="1">
      <alignment horizontal="left"/>
    </xf>
    <xf numFmtId="168" fontId="25" fillId="0" borderId="0" xfId="9" applyFont="1" applyAlignment="1">
      <alignment horizontal="left"/>
    </xf>
    <xf numFmtId="184" fontId="25" fillId="0" borderId="0" xfId="12" applyNumberFormat="1" applyFont="1" applyFill="1"/>
    <xf numFmtId="180" fontId="0" fillId="0" borderId="0" xfId="10" applyNumberFormat="1" applyFont="1" applyFill="1"/>
    <xf numFmtId="178" fontId="34" fillId="0" borderId="0" xfId="9" applyNumberFormat="1" applyFont="1" applyAlignment="1">
      <alignment horizontal="left"/>
    </xf>
    <xf numFmtId="0" fontId="34" fillId="0" borderId="0" xfId="0" applyFont="1"/>
    <xf numFmtId="3" fontId="3" fillId="0" borderId="0" xfId="0" applyNumberFormat="1" applyFont="1" applyAlignment="1">
      <alignment horizontal="right"/>
    </xf>
    <xf numFmtId="180" fontId="3" fillId="0" borderId="0" xfId="10" applyNumberFormat="1" applyFont="1" applyFill="1" applyBorder="1" applyAlignment="1">
      <alignment horizontal="right"/>
    </xf>
    <xf numFmtId="178" fontId="34" fillId="0" borderId="0" xfId="9" applyNumberFormat="1" applyFont="1" applyAlignment="1">
      <alignment horizontal="right"/>
    </xf>
    <xf numFmtId="0" fontId="34" fillId="0" borderId="0" xfId="0" applyFont="1" applyAlignment="1">
      <alignment horizontal="right"/>
    </xf>
    <xf numFmtId="185" fontId="18" fillId="0" borderId="0" xfId="6" applyNumberFormat="1"/>
    <xf numFmtId="167" fontId="0" fillId="0" borderId="0" xfId="0" applyNumberFormat="1"/>
    <xf numFmtId="0" fontId="3" fillId="0" borderId="0" xfId="0" applyFont="1" applyAlignment="1">
      <alignment horizontal="right"/>
    </xf>
    <xf numFmtId="0" fontId="3" fillId="0" borderId="5" xfId="0" quotePrefix="1" applyFont="1" applyBorder="1"/>
    <xf numFmtId="0" fontId="3" fillId="0" borderId="7" xfId="0" applyFont="1" applyBorder="1"/>
    <xf numFmtId="0" fontId="25" fillId="0" borderId="0" xfId="0" quotePrefix="1" applyFont="1" applyAlignment="1">
      <alignment horizontal="center"/>
    </xf>
    <xf numFmtId="0" fontId="2" fillId="17" borderId="0" xfId="0" applyFont="1" applyFill="1"/>
    <xf numFmtId="0" fontId="2" fillId="5" borderId="0" xfId="0" applyFont="1" applyFill="1" applyAlignment="1">
      <alignment horizontal="center"/>
    </xf>
    <xf numFmtId="0" fontId="39" fillId="7" borderId="0" xfId="0" applyFont="1" applyFill="1"/>
    <xf numFmtId="181" fontId="39" fillId="7" borderId="0" xfId="0" applyNumberFormat="1" applyFont="1" applyFill="1"/>
    <xf numFmtId="0" fontId="39" fillId="6" borderId="0" xfId="0" applyFont="1" applyFill="1"/>
    <xf numFmtId="181" fontId="39" fillId="6" borderId="0" xfId="0" applyNumberFormat="1" applyFont="1" applyFill="1"/>
    <xf numFmtId="180" fontId="25" fillId="16" borderId="0" xfId="10" applyNumberFormat="1" applyFont="1" applyFill="1" applyAlignment="1">
      <alignment horizontal="right"/>
    </xf>
    <xf numFmtId="0" fontId="40" fillId="8" borderId="0" xfId="0" applyFont="1" applyFill="1"/>
    <xf numFmtId="168" fontId="25" fillId="0" borderId="0" xfId="9" quotePrefix="1" applyFont="1" applyAlignment="1">
      <alignment horizontal="center"/>
    </xf>
    <xf numFmtId="0" fontId="41" fillId="18" borderId="0" xfId="5" applyFont="1" applyFill="1">
      <alignment vertical="top"/>
    </xf>
    <xf numFmtId="0" fontId="10" fillId="18" borderId="0" xfId="5" applyFill="1">
      <alignment vertical="top"/>
    </xf>
    <xf numFmtId="0" fontId="3" fillId="18" borderId="0" xfId="2" applyFill="1"/>
    <xf numFmtId="0" fontId="15" fillId="0" borderId="0" xfId="13" applyFont="1"/>
    <xf numFmtId="0" fontId="26" fillId="0" borderId="0" xfId="0" applyFont="1" applyAlignment="1">
      <alignment horizontal="center"/>
    </xf>
    <xf numFmtId="0" fontId="26" fillId="0" borderId="0" xfId="0" applyFont="1"/>
    <xf numFmtId="186" fontId="25" fillId="0" borderId="0" xfId="0" applyNumberFormat="1" applyFont="1" applyAlignment="1">
      <alignment horizontal="right"/>
    </xf>
    <xf numFmtId="0" fontId="26" fillId="19" borderId="0" xfId="0" applyFont="1" applyFill="1"/>
    <xf numFmtId="186" fontId="26" fillId="0" borderId="0" xfId="0" applyNumberFormat="1" applyFont="1" applyAlignment="1">
      <alignment horizontal="right"/>
    </xf>
    <xf numFmtId="0" fontId="26" fillId="12" borderId="0" xfId="0" applyFont="1" applyFill="1" applyAlignment="1">
      <alignment horizontal="center"/>
    </xf>
    <xf numFmtId="186" fontId="26" fillId="19" borderId="0" xfId="0" applyNumberFormat="1" applyFont="1" applyFill="1" applyAlignment="1">
      <alignment horizontal="right"/>
    </xf>
    <xf numFmtId="0" fontId="43" fillId="12" borderId="0" xfId="0" applyFont="1" applyFill="1" applyAlignment="1">
      <alignment horizontal="right"/>
    </xf>
    <xf numFmtId="0" fontId="0" fillId="12" borderId="0" xfId="0" applyFill="1" applyAlignment="1">
      <alignment horizontal="center"/>
    </xf>
    <xf numFmtId="0" fontId="3" fillId="0" borderId="0" xfId="0" applyFont="1" applyAlignment="1">
      <alignment horizontal="right" indent="1"/>
    </xf>
    <xf numFmtId="0" fontId="0" fillId="20" borderId="0" xfId="0" applyFill="1" applyAlignment="1">
      <alignment horizontal="center"/>
    </xf>
    <xf numFmtId="0" fontId="26" fillId="20" borderId="0" xfId="0" applyFont="1" applyFill="1" applyAlignment="1">
      <alignment horizontal="center"/>
    </xf>
    <xf numFmtId="0" fontId="43" fillId="20" borderId="0" xfId="0" applyFont="1" applyFill="1" applyAlignment="1">
      <alignment horizontal="right"/>
    </xf>
    <xf numFmtId="0" fontId="45" fillId="0" borderId="0" xfId="0" applyFont="1"/>
    <xf numFmtId="171" fontId="26" fillId="19" borderId="0" xfId="9" applyNumberFormat="1" applyFont="1" applyFill="1" applyAlignment="1">
      <alignment horizontal="center"/>
    </xf>
    <xf numFmtId="180" fontId="26" fillId="19" borderId="0" xfId="10" applyNumberFormat="1" applyFont="1" applyFill="1"/>
    <xf numFmtId="168" fontId="26" fillId="19" borderId="0" xfId="9" applyFont="1" applyFill="1" applyAlignment="1">
      <alignment horizontal="center"/>
    </xf>
    <xf numFmtId="180" fontId="25" fillId="19" borderId="0" xfId="10" applyNumberFormat="1" applyFont="1" applyFill="1"/>
    <xf numFmtId="0" fontId="46" fillId="0" borderId="0" xfId="0" applyFont="1"/>
    <xf numFmtId="171" fontId="46" fillId="0" borderId="0" xfId="9" applyNumberFormat="1" applyFont="1" applyAlignment="1">
      <alignment horizontal="center"/>
    </xf>
    <xf numFmtId="3" fontId="46" fillId="0" borderId="0" xfId="9" applyNumberFormat="1" applyFont="1"/>
    <xf numFmtId="180" fontId="46" fillId="0" borderId="0" xfId="10" applyNumberFormat="1" applyFont="1"/>
    <xf numFmtId="178" fontId="46" fillId="0" borderId="0" xfId="9" applyNumberFormat="1" applyFont="1" applyAlignment="1">
      <alignment horizontal="left"/>
    </xf>
    <xf numFmtId="178" fontId="46" fillId="0" borderId="0" xfId="9" applyNumberFormat="1" applyFont="1" applyAlignment="1">
      <alignment horizontal="center"/>
    </xf>
    <xf numFmtId="181" fontId="46" fillId="0" borderId="0" xfId="10" applyNumberFormat="1" applyFont="1"/>
    <xf numFmtId="0" fontId="46" fillId="0" borderId="0" xfId="0" applyFont="1" applyAlignment="1">
      <alignment horizontal="left" indent="1"/>
    </xf>
    <xf numFmtId="177" fontId="46" fillId="0" borderId="0" xfId="0" quotePrefix="1" applyNumberFormat="1" applyFont="1" applyAlignment="1">
      <alignment horizontal="right"/>
    </xf>
    <xf numFmtId="0" fontId="46" fillId="0" borderId="0" xfId="0" applyFont="1" applyAlignment="1">
      <alignment horizontal="left" indent="2"/>
    </xf>
    <xf numFmtId="0" fontId="46" fillId="0" borderId="0" xfId="0" quotePrefix="1" applyFont="1"/>
    <xf numFmtId="0" fontId="47" fillId="0" borderId="0" xfId="0" applyFont="1"/>
    <xf numFmtId="180" fontId="48" fillId="0" borderId="0" xfId="10" applyNumberFormat="1" applyFont="1"/>
    <xf numFmtId="0" fontId="1" fillId="0" borderId="0" xfId="6" applyFont="1" applyAlignment="1">
      <alignment horizontal="center"/>
    </xf>
    <xf numFmtId="14" fontId="1" fillId="3" borderId="0" xfId="6" applyNumberFormat="1" applyFont="1" applyFill="1"/>
    <xf numFmtId="0" fontId="1" fillId="3" borderId="0" xfId="6" applyFont="1" applyFill="1"/>
    <xf numFmtId="0" fontId="1" fillId="0" borderId="0" xfId="6" applyFont="1"/>
    <xf numFmtId="0" fontId="49" fillId="0" borderId="0" xfId="0" applyFont="1"/>
    <xf numFmtId="168" fontId="25" fillId="21" borderId="28" xfId="9" quotePrefix="1" applyFont="1" applyFill="1" applyBorder="1" applyAlignment="1">
      <alignment horizontal="center"/>
    </xf>
    <xf numFmtId="168" fontId="46" fillId="21" borderId="29" xfId="9" quotePrefix="1" applyFont="1" applyFill="1" applyBorder="1" applyAlignment="1">
      <alignment horizontal="center"/>
    </xf>
    <xf numFmtId="168" fontId="46" fillId="21" borderId="30" xfId="9" applyFont="1" applyFill="1" applyBorder="1" applyAlignment="1">
      <alignment horizontal="left"/>
    </xf>
    <xf numFmtId="168" fontId="46" fillId="21" borderId="29" xfId="9" applyFont="1" applyFill="1" applyBorder="1" applyAlignment="1">
      <alignment horizontal="left"/>
    </xf>
    <xf numFmtId="14" fontId="3" fillId="0" borderId="18" xfId="2" quotePrefix="1" applyNumberFormat="1" applyBorder="1" applyAlignment="1">
      <alignment horizontal="center" vertical="center"/>
    </xf>
    <xf numFmtId="0" fontId="50" fillId="0" borderId="0" xfId="13" applyFont="1" applyAlignment="1">
      <alignment horizontal="left" vertical="top" wrapText="1"/>
    </xf>
    <xf numFmtId="0" fontId="22" fillId="0" borderId="0" xfId="13" applyFont="1" applyAlignment="1">
      <alignment horizontal="left" vertical="top" wrapText="1"/>
    </xf>
    <xf numFmtId="0" fontId="3" fillId="0" borderId="0" xfId="2" applyAlignment="1">
      <alignment horizontal="left" wrapText="1"/>
    </xf>
    <xf numFmtId="0" fontId="3" fillId="0" borderId="1" xfId="2" applyBorder="1" applyAlignment="1">
      <alignment horizontal="left" vertical="center" wrapText="1"/>
    </xf>
    <xf numFmtId="0" fontId="3" fillId="0" borderId="2" xfId="2" applyBorder="1" applyAlignment="1">
      <alignment horizontal="left" vertical="center" wrapText="1"/>
    </xf>
    <xf numFmtId="0" fontId="3" fillId="0" borderId="17" xfId="2" applyBorder="1" applyAlignment="1">
      <alignment horizontal="left" vertical="center" wrapText="1"/>
    </xf>
    <xf numFmtId="0" fontId="4" fillId="18" borderId="0" xfId="2" applyFont="1" applyFill="1" applyAlignment="1">
      <alignment horizontal="left" wrapText="1"/>
    </xf>
    <xf numFmtId="0" fontId="30" fillId="12" borderId="0" xfId="0" applyFont="1" applyFill="1" applyAlignment="1">
      <alignment horizontal="center"/>
    </xf>
    <xf numFmtId="0" fontId="32" fillId="0" borderId="0" xfId="0" applyFont="1" applyAlignment="1">
      <alignment horizontal="left"/>
    </xf>
    <xf numFmtId="0" fontId="2" fillId="0" borderId="0" xfId="0" applyFont="1" applyAlignment="1">
      <alignment horizontal="center"/>
    </xf>
    <xf numFmtId="0" fontId="2" fillId="5" borderId="0" xfId="0" applyFont="1" applyFill="1" applyAlignment="1">
      <alignment horizontal="center"/>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17" xfId="0" applyFont="1" applyFill="1" applyBorder="1" applyAlignment="1">
      <alignment horizontal="left"/>
    </xf>
    <xf numFmtId="182" fontId="0" fillId="0" borderId="0" xfId="0" applyNumberFormat="1" applyAlignment="1">
      <alignment horizontal="left"/>
    </xf>
    <xf numFmtId="0" fontId="2" fillId="4" borderId="0" xfId="0" applyFont="1" applyFill="1" applyAlignment="1">
      <alignment horizontal="center"/>
    </xf>
    <xf numFmtId="0" fontId="2" fillId="13" borderId="0" xfId="0" applyFont="1" applyFill="1" applyAlignment="1">
      <alignment horizontal="center"/>
    </xf>
    <xf numFmtId="0" fontId="2" fillId="0" borderId="8" xfId="0" applyFont="1" applyBorder="1" applyAlignment="1">
      <alignment horizontal="center"/>
    </xf>
    <xf numFmtId="9" fontId="23" fillId="0" borderId="20" xfId="10" applyFont="1" applyBorder="1" applyAlignment="1">
      <alignment horizontal="center" vertical="center"/>
    </xf>
    <xf numFmtId="9" fontId="23" fillId="0" borderId="24" xfId="10" applyFont="1" applyBorder="1" applyAlignment="1">
      <alignment horizontal="center" vertical="center"/>
    </xf>
  </cellXfs>
  <cellStyles count="14">
    <cellStyle name="Between Paragraphs" xfId="1" xr:uid="{00000000-0005-0000-0000-000000000000}"/>
    <cellStyle name="Comma" xfId="12" builtinId="3"/>
    <cellStyle name="Currency" xfId="9" builtinId="4"/>
    <cellStyle name="Fact Sheet Body Text" xfId="2" xr:uid="{00000000-0005-0000-0000-000001000000}"/>
    <cellStyle name="Fact Sheet Body Text 2" xfId="8" xr:uid="{402955CA-C0CF-4BE0-A662-08C04357F4B0}"/>
    <cellStyle name="Fact Sheet Heading 1" xfId="3" xr:uid="{00000000-0005-0000-0000-000002000000}"/>
    <cellStyle name="Fact Sheet Heading 2" xfId="4" xr:uid="{00000000-0005-0000-0000-000003000000}"/>
    <cellStyle name="Fact Sheet Heading 3" xfId="5" xr:uid="{00000000-0005-0000-0000-000004000000}"/>
    <cellStyle name="Hyperlink" xfId="11" builtinId="8"/>
    <cellStyle name="Normal" xfId="0" builtinId="0"/>
    <cellStyle name="Normal 3" xfId="6" xr:uid="{00000000-0005-0000-0000-000006000000}"/>
    <cellStyle name="Normal 3 2" xfId="13" xr:uid="{67BA2819-E27A-42D2-9F58-A7FEF14D6A31}"/>
    <cellStyle name="Percent" xfId="10" builtinId="5"/>
    <cellStyle name="Percent 3" xfId="7" xr:uid="{00000000-0005-0000-0000-000007000000}"/>
  </cellStyles>
  <dxfs count="10">
    <dxf>
      <font>
        <color theme="0" tint="-0.499984740745262"/>
      </font>
      <fill>
        <patternFill>
          <bgColor theme="0" tint="-0.34998626667073579"/>
        </patternFill>
      </fill>
    </dxf>
    <dxf>
      <font>
        <color theme="0" tint="-0.499984740745262"/>
      </font>
      <fill>
        <patternFill>
          <bgColor theme="0" tint="-0.24994659260841701"/>
        </patternFill>
      </fill>
    </dxf>
    <dxf>
      <font>
        <color theme="0" tint="-0.499984740745262"/>
      </font>
      <fill>
        <patternFill>
          <bgColor theme="0" tint="-0.34998626667073579"/>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34998626667073579"/>
        </patternFill>
      </fill>
    </dxf>
    <dxf>
      <font>
        <color theme="0" tint="-0.499984740745262"/>
      </font>
      <fill>
        <patternFill>
          <bgColor theme="0" tint="-0.24994659260841701"/>
        </patternFill>
      </fill>
    </dxf>
    <dxf>
      <font>
        <color theme="0" tint="-0.499984740745262"/>
      </font>
      <fill>
        <patternFill>
          <bgColor theme="0" tint="-0.34998626667073579"/>
        </patternFill>
      </fill>
    </dxf>
    <dxf>
      <font>
        <color theme="0" tint="-0.499984740745262"/>
      </font>
      <fill>
        <patternFill>
          <bgColor theme="0" tint="-0.24994659260841701"/>
        </patternFill>
      </fill>
    </dxf>
    <dxf>
      <font>
        <color theme="0" tint="-0.499984740745262"/>
      </font>
      <fill>
        <patternFill>
          <bgColor theme="0" tint="-0.24994659260841701"/>
        </patternFill>
      </fill>
    </dxf>
  </dxfs>
  <tableStyles count="0" defaultTableStyle="TableStyleMedium2" defaultPivotStyle="PivotStyleLight16"/>
  <colors>
    <mruColors>
      <color rgb="FFFFFF99"/>
      <color rgb="FFF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 Rate DTS Reduction'!$P$12</c:f>
          <c:strCache>
            <c:ptCount val="1"/>
            <c:pt idx="0">
              <c:v> Testing Site 1 - Estimated Annual Transmission Revenue </c:v>
            </c:pt>
          </c:strCache>
        </c:strRef>
      </c:tx>
      <c:layout>
        <c:manualLayout>
          <c:xMode val="edge"/>
          <c:yMode val="edge"/>
          <c:x val="0.12035875838170698"/>
          <c:y val="1.9444382214730622E-2"/>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'No Rate DTS Reduction'!$I$34</c:f>
              <c:strCache>
                <c:ptCount val="1"/>
                <c:pt idx="0">
                  <c:v>Rate DTS
($)</c:v>
                </c:pt>
              </c:strCache>
            </c:strRef>
          </c:tx>
          <c:spPr>
            <a:solidFill>
              <a:schemeClr val="accent1">
                <a:lumMod val="40000"/>
                <a:lumOff val="60000"/>
              </a:schemeClr>
            </a:solidFill>
            <a:ln>
              <a:noFill/>
            </a:ln>
            <a:effectLst/>
          </c:spPr>
          <c:invertIfNegative val="0"/>
          <c:dPt>
            <c:idx val="2"/>
            <c:invertIfNegative val="0"/>
            <c:bubble3D val="0"/>
            <c:spPr>
              <a:solidFill>
                <a:schemeClr val="bg1">
                  <a:lumMod val="65000"/>
                </a:schemeClr>
              </a:solidFill>
              <a:ln>
                <a:noFill/>
              </a:ln>
              <a:effectLst/>
            </c:spPr>
            <c:extLst>
              <c:ext xmlns:c16="http://schemas.microsoft.com/office/drawing/2014/chart" uri="{C3380CC4-5D6E-409C-BE32-E72D297353CC}">
                <c16:uniqueId val="{00000008-1BBF-4DF5-BB68-CA48A9E09842}"/>
              </c:ext>
            </c:extLst>
          </c:dPt>
          <c:dPt>
            <c:idx val="5"/>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3-850D-484E-B06F-7C6522B1EC0B}"/>
              </c:ext>
            </c:extLst>
          </c:dPt>
          <c:dPt>
            <c:idx val="6"/>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1-850D-484E-B06F-7C6522B1EC0B}"/>
              </c:ext>
            </c:extLst>
          </c:dPt>
          <c:cat>
            <c:strRef>
              <c:f>'No Rate DTS Reduction'!$A$35:$A$37</c:f>
              <c:strCache>
                <c:ptCount val="3"/>
                <c:pt idx="0">
                  <c:v>Scenario 1 - Rate DTS Only</c:v>
                </c:pt>
                <c:pt idx="1">
                  <c:v>Scenario 2 - with Rate DTS and Rate DOS - Dispatchable</c:v>
                </c:pt>
                <c:pt idx="2">
                  <c:v>[Scenario 2] - Charged as Rate DTS Only</c:v>
                </c:pt>
              </c:strCache>
            </c:strRef>
          </c:cat>
          <c:val>
            <c:numRef>
              <c:f>'No Rate DTS Reduction'!$I$35:$I$37</c:f>
              <c:numCache>
                <c:formatCode>_("$"* #,##0_);_("$"* \(#,##0\);_("$"* "-"??_);_(@_)</c:formatCode>
                <c:ptCount val="3"/>
                <c:pt idx="0">
                  <c:v>371052.75272727275</c:v>
                </c:pt>
                <c:pt idx="1">
                  <c:v>371052.75272727275</c:v>
                </c:pt>
                <c:pt idx="2">
                  <c:v>1155353.0727272728</c:v>
                </c:pt>
              </c:numCache>
            </c:numRef>
          </c:val>
          <c:extLst>
            <c:ext xmlns:c16="http://schemas.microsoft.com/office/drawing/2014/chart" uri="{C3380CC4-5D6E-409C-BE32-E72D297353CC}">
              <c16:uniqueId val="{00000000-E002-4FA6-B8FB-36055CD9B413}"/>
            </c:ext>
          </c:extLst>
        </c:ser>
        <c:ser>
          <c:idx val="1"/>
          <c:order val="1"/>
          <c:tx>
            <c:strRef>
              <c:f>'No Rate DTS Reduction'!$J$34</c:f>
              <c:strCache>
                <c:ptCount val="1"/>
                <c:pt idx="0">
                  <c:v>Rate DOS - Dispatchable
($)</c:v>
                </c:pt>
              </c:strCache>
            </c:strRef>
          </c:tx>
          <c:spPr>
            <a:solidFill>
              <a:schemeClr val="accent6">
                <a:lumMod val="60000"/>
                <a:lumOff val="40000"/>
              </a:schemeClr>
            </a:solidFill>
            <a:ln>
              <a:noFill/>
            </a:ln>
            <a:effectLst/>
          </c:spPr>
          <c:invertIfNegative val="0"/>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4-850D-484E-B06F-7C6522B1EC0B}"/>
              </c:ext>
            </c:extLst>
          </c:dPt>
          <c:dPt>
            <c:idx val="6"/>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2-850D-484E-B06F-7C6522B1EC0B}"/>
              </c:ext>
            </c:extLst>
          </c:dPt>
          <c:dLbls>
            <c:dLbl>
              <c:idx val="0"/>
              <c:delete val="1"/>
              <c:extLst>
                <c:ext xmlns:c15="http://schemas.microsoft.com/office/drawing/2012/chart" uri="{CE6537A1-D6FC-4f65-9D91-7224C49458BB}"/>
                <c:ext xmlns:c16="http://schemas.microsoft.com/office/drawing/2014/chart" uri="{C3380CC4-5D6E-409C-BE32-E72D297353CC}">
                  <c16:uniqueId val="{00000003-E002-4FA6-B8FB-36055CD9B413}"/>
                </c:ext>
              </c:extLst>
            </c:dLbl>
            <c:dLbl>
              <c:idx val="1"/>
              <c:tx>
                <c:rich>
                  <a:bodyPr/>
                  <a:lstStyle/>
                  <a:p>
                    <a:fld id="{E02452D4-B23B-48F0-8E51-7C9580892F3E}" type="CELLRANGE">
                      <a:rPr lang="en-US"/>
                      <a:pPr/>
                      <a:t>[CELLRANGE]</a:t>
                    </a:fld>
                    <a:endParaRPr lang="en-C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002-4FA6-B8FB-36055CD9B413}"/>
                </c:ext>
              </c:extLst>
            </c:dLbl>
            <c:dLbl>
              <c:idx val="2"/>
              <c:layout>
                <c:manualLayout>
                  <c:x val="1.5744368970650512E-3"/>
                  <c:y val="-7.3581271963333736E-2"/>
                </c:manualLayout>
              </c:layout>
              <c:tx>
                <c:rich>
                  <a:bodyPr/>
                  <a:lstStyle/>
                  <a:p>
                    <a:fld id="{06FEFD7E-1C20-44C5-9AB1-3869C780F346}" type="CELLRANGE">
                      <a:rPr lang="en-US"/>
                      <a:pPr/>
                      <a:t>[CELLRANGE]</a:t>
                    </a:fld>
                    <a:endParaRPr lang="en-C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002-4FA6-B8FB-36055CD9B41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'No Rate DTS Reduction'!$A$35:$A$37</c:f>
              <c:strCache>
                <c:ptCount val="3"/>
                <c:pt idx="0">
                  <c:v>Scenario 1 - Rate DTS Only</c:v>
                </c:pt>
                <c:pt idx="1">
                  <c:v>Scenario 2 - with Rate DTS and Rate DOS - Dispatchable</c:v>
                </c:pt>
                <c:pt idx="2">
                  <c:v>[Scenario 2] - Charged as Rate DTS Only</c:v>
                </c:pt>
              </c:strCache>
            </c:strRef>
          </c:cat>
          <c:val>
            <c:numRef>
              <c:f>'No Rate DTS Reduction'!$J$35:$J$37</c:f>
              <c:numCache>
                <c:formatCode>_("$"* #,##0_);_("$"* \(#,##0\);_("$"* "-"??_);_(@_)</c:formatCode>
                <c:ptCount val="3"/>
                <c:pt idx="0">
                  <c:v>0</c:v>
                </c:pt>
                <c:pt idx="1">
                  <c:v>784300.32</c:v>
                </c:pt>
                <c:pt idx="2">
                  <c:v>0</c:v>
                </c:pt>
              </c:numCache>
            </c:numRef>
          </c:val>
          <c:extLst>
            <c:ext xmlns:c15="http://schemas.microsoft.com/office/drawing/2012/chart" uri="{02D57815-91ED-43cb-92C2-25804820EDAC}">
              <c15:datalabelsRange>
                <c15:f>'No Rate DTS Reduction'!$N$35:$N$37</c15:f>
                <c15:dlblRangeCache>
                  <c:ptCount val="3"/>
                  <c:pt idx="0">
                    <c:v>--</c:v>
                  </c:pt>
                  <c:pt idx="1">
                    <c:v>+211.4% </c:v>
                  </c:pt>
                  <c:pt idx="2">
                    <c:v>+97.1% </c:v>
                  </c:pt>
                </c15:dlblRangeCache>
              </c15:datalabelsRange>
            </c:ext>
            <c:ext xmlns:c16="http://schemas.microsoft.com/office/drawing/2014/chart" uri="{C3380CC4-5D6E-409C-BE32-E72D297353CC}">
              <c16:uniqueId val="{00000001-E002-4FA6-B8FB-36055CD9B413}"/>
            </c:ext>
          </c:extLst>
        </c:ser>
        <c:ser>
          <c:idx val="2"/>
          <c:order val="2"/>
          <c:tx>
            <c:strRef>
              <c:f>'No Rate DTS Reduction'!$K$34</c:f>
              <c:strCache>
                <c:ptCount val="1"/>
                <c:pt idx="0">
                  <c:v>Potential Rate DTS Revenue Loss (Gain)
($)</c:v>
                </c:pt>
              </c:strCache>
            </c:strRef>
          </c:tx>
          <c:spPr>
            <a:pattFill prst="pct20">
              <a:fgClr>
                <a:schemeClr val="bg1">
                  <a:lumMod val="50000"/>
                </a:schemeClr>
              </a:fgClr>
              <a:bgClr>
                <a:schemeClr val="bg1"/>
              </a:bgClr>
            </a:pattFill>
            <a:ln w="9525">
              <a:solidFill>
                <a:schemeClr val="bg1">
                  <a:lumMod val="50000"/>
                </a:schemeClr>
              </a:solidFill>
            </a:ln>
            <a:effectLst/>
          </c:spPr>
          <c:invertIfNegative val="0"/>
          <c:val>
            <c:numRef>
              <c:f>'No Rate DTS Reduction'!$K$35:$K$37</c:f>
              <c:numCache>
                <c:formatCode>_("$"* #,##0_);_("$"* \(#,##0\);_("$"* "-"??_);_(@_)</c:formatCode>
                <c:ptCount val="3"/>
                <c:pt idx="0">
                  <c:v>0</c:v>
                </c:pt>
                <c:pt idx="1">
                  <c:v>0</c:v>
                </c:pt>
                <c:pt idx="2">
                  <c:v>1121567.7272727271</c:v>
                </c:pt>
              </c:numCache>
            </c:numRef>
          </c:val>
          <c:extLst>
            <c:ext xmlns:c16="http://schemas.microsoft.com/office/drawing/2014/chart" uri="{C3380CC4-5D6E-409C-BE32-E72D297353CC}">
              <c16:uniqueId val="{0000000B-3115-4F4A-ABFF-34C26B383DF2}"/>
            </c:ext>
          </c:extLst>
        </c:ser>
        <c:dLbls>
          <c:showLegendKey val="0"/>
          <c:showVal val="0"/>
          <c:showCatName val="0"/>
          <c:showSerName val="0"/>
          <c:showPercent val="0"/>
          <c:showBubbleSize val="0"/>
        </c:dLbls>
        <c:gapWidth val="150"/>
        <c:overlap val="100"/>
        <c:axId val="605615120"/>
        <c:axId val="478826128"/>
      </c:barChart>
      <c:catAx>
        <c:axId val="6056151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r>
                  <a:rPr lang="en-US"/>
                  <a:t>Rate Comparison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478826128"/>
        <c:crosses val="autoZero"/>
        <c:auto val="1"/>
        <c:lblAlgn val="ctr"/>
        <c:lblOffset val="100"/>
        <c:noMultiLvlLbl val="0"/>
      </c:catAx>
      <c:valAx>
        <c:axId val="478826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r>
                  <a:rPr lang="en-US"/>
                  <a:t>Annual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05615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'With Rate DTS Reduction'!$P$12</c:f>
          <c:strCache>
            <c:ptCount val="1"/>
            <c:pt idx="0">
              <c:v> Testing Site 2 - Estimated Annual Transmission Revenue </c:v>
            </c:pt>
          </c:strCache>
        </c:strRef>
      </c:tx>
      <c:layout>
        <c:manualLayout>
          <c:xMode val="edge"/>
          <c:yMode val="edge"/>
          <c:x val="0.15612509258188614"/>
          <c:y val="6.4630132036422021E-5"/>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'With Rate DTS Reduction'!$I$35</c:f>
              <c:strCache>
                <c:ptCount val="1"/>
                <c:pt idx="0">
                  <c:v>Rate DTS
($)</c:v>
                </c:pt>
              </c:strCache>
            </c:strRef>
          </c:tx>
          <c:spPr>
            <a:solidFill>
              <a:schemeClr val="accent1">
                <a:lumMod val="40000"/>
                <a:lumOff val="60000"/>
              </a:schemeClr>
            </a:solidFill>
            <a:ln>
              <a:noFill/>
            </a:ln>
            <a:effectLst/>
          </c:spPr>
          <c:invertIfNegative val="0"/>
          <c:dPt>
            <c:idx val="2"/>
            <c:invertIfNegative val="0"/>
            <c:bubble3D val="0"/>
            <c:spPr>
              <a:solidFill>
                <a:schemeClr val="bg1">
                  <a:lumMod val="65000"/>
                </a:schemeClr>
              </a:solidFill>
              <a:ln>
                <a:noFill/>
              </a:ln>
              <a:effectLst/>
            </c:spPr>
            <c:extLst>
              <c:ext xmlns:c16="http://schemas.microsoft.com/office/drawing/2014/chart" uri="{C3380CC4-5D6E-409C-BE32-E72D297353CC}">
                <c16:uniqueId val="{00000001-E3AC-4FE7-9E7C-1758B19E054A}"/>
              </c:ext>
            </c:extLst>
          </c:dPt>
          <c:dPt>
            <c:idx val="3"/>
            <c:invertIfNegative val="0"/>
            <c:bubble3D val="0"/>
            <c:spPr>
              <a:solidFill>
                <a:schemeClr val="bg1">
                  <a:lumMod val="65000"/>
                </a:schemeClr>
              </a:solidFill>
              <a:ln>
                <a:noFill/>
              </a:ln>
              <a:effectLst/>
            </c:spPr>
            <c:extLst>
              <c:ext xmlns:c16="http://schemas.microsoft.com/office/drawing/2014/chart" uri="{C3380CC4-5D6E-409C-BE32-E72D297353CC}">
                <c16:uniqueId val="{0000000F-54A3-48CD-97D8-A6E02D941ED3}"/>
              </c:ext>
            </c:extLst>
          </c:dPt>
          <c:dPt>
            <c:idx val="5"/>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3-E3AC-4FE7-9E7C-1758B19E054A}"/>
              </c:ext>
            </c:extLst>
          </c:dPt>
          <c:dPt>
            <c:idx val="6"/>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5-E3AC-4FE7-9E7C-1758B19E054A}"/>
              </c:ext>
            </c:extLst>
          </c:dPt>
          <c:cat>
            <c:strRef>
              <c:f>'With Rate DTS Reduction'!$A$36:$A$39</c:f>
              <c:strCache>
                <c:ptCount val="4"/>
                <c:pt idx="0">
                  <c:v>Scenario 1 - Rate DTS Only (Existing Load Profile)</c:v>
                </c:pt>
                <c:pt idx="1">
                  <c:v>Scenario 2 - with Rate DTS and Rate DOS - Dispatchable</c:v>
                </c:pt>
                <c:pt idx="2">
                  <c:v>Additional Transmission Revenue with DOS Dispatchable*</c:v>
                </c:pt>
                <c:pt idx="3">
                  <c:v>[Scenario 2] - Charged as Rate DTS Only</c:v>
                </c:pt>
              </c:strCache>
            </c:strRef>
          </c:cat>
          <c:val>
            <c:numRef>
              <c:f>'With Rate DTS Reduction'!$I$36:$I$39</c:f>
              <c:numCache>
                <c:formatCode>_("$"* #,##0_);_("$"* \(#,##0\);_("$"* "-"??_);_(@_)</c:formatCode>
                <c:ptCount val="4"/>
                <c:pt idx="0">
                  <c:v>10421502.672</c:v>
                </c:pt>
                <c:pt idx="1">
                  <c:v>1967460.3599999999</c:v>
                </c:pt>
                <c:pt idx="2">
                  <c:v>10421502.672</c:v>
                </c:pt>
                <c:pt idx="3">
                  <c:v>10769052.84</c:v>
                </c:pt>
              </c:numCache>
            </c:numRef>
          </c:val>
          <c:extLst>
            <c:ext xmlns:c16="http://schemas.microsoft.com/office/drawing/2014/chart" uri="{C3380CC4-5D6E-409C-BE32-E72D297353CC}">
              <c16:uniqueId val="{00000006-E3AC-4FE7-9E7C-1758B19E054A}"/>
            </c:ext>
          </c:extLst>
        </c:ser>
        <c:ser>
          <c:idx val="1"/>
          <c:order val="1"/>
          <c:tx>
            <c:strRef>
              <c:f>'With Rate DTS Reduction'!$J$35</c:f>
              <c:strCache>
                <c:ptCount val="1"/>
                <c:pt idx="0">
                  <c:v>Rate DOS - Dispatchable
($)</c:v>
                </c:pt>
              </c:strCache>
            </c:strRef>
          </c:tx>
          <c:spPr>
            <a:solidFill>
              <a:schemeClr val="accent6">
                <a:lumMod val="60000"/>
                <a:lumOff val="40000"/>
              </a:schemeClr>
            </a:solidFill>
            <a:ln>
              <a:noFill/>
            </a:ln>
            <a:effectLst/>
          </c:spPr>
          <c:invertIfNegative val="0"/>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8-E3AC-4FE7-9E7C-1758B19E054A}"/>
              </c:ext>
            </c:extLst>
          </c:dPt>
          <c:dPt>
            <c:idx val="6"/>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A-E3AC-4FE7-9E7C-1758B19E054A}"/>
              </c:ext>
            </c:extLst>
          </c:dPt>
          <c:cat>
            <c:strRef>
              <c:f>'With Rate DTS Reduction'!$A$36:$A$39</c:f>
              <c:strCache>
                <c:ptCount val="4"/>
                <c:pt idx="0">
                  <c:v>Scenario 1 - Rate DTS Only (Existing Load Profile)</c:v>
                </c:pt>
                <c:pt idx="1">
                  <c:v>Scenario 2 - with Rate DTS and Rate DOS - Dispatchable</c:v>
                </c:pt>
                <c:pt idx="2">
                  <c:v>Additional Transmission Revenue with DOS Dispatchable*</c:v>
                </c:pt>
                <c:pt idx="3">
                  <c:v>[Scenario 2] - Charged as Rate DTS Only</c:v>
                </c:pt>
              </c:strCache>
            </c:strRef>
          </c:cat>
          <c:val>
            <c:numRef>
              <c:f>'With Rate DTS Reduction'!$J$36:$J$39</c:f>
              <c:numCache>
                <c:formatCode>_("$"* #,##0_);_("$"* \(#,##0\);_("$"* "-"??_);_(@_)</c:formatCode>
                <c:ptCount val="4"/>
                <c:pt idx="0">
                  <c:v>0</c:v>
                </c:pt>
                <c:pt idx="1">
                  <c:v>8801592.4800000004</c:v>
                </c:pt>
              </c:numCache>
            </c:numRef>
          </c:val>
          <c:extLst>
            <c:ext xmlns:c16="http://schemas.microsoft.com/office/drawing/2014/chart" uri="{C3380CC4-5D6E-409C-BE32-E72D297353CC}">
              <c16:uniqueId val="{0000000E-E3AC-4FE7-9E7C-1758B19E054A}"/>
            </c:ext>
          </c:extLst>
        </c:ser>
        <c:ser>
          <c:idx val="2"/>
          <c:order val="2"/>
          <c:tx>
            <c:strRef>
              <c:f>'With Rate DTS Reduction'!$A$39</c:f>
              <c:strCache>
                <c:ptCount val="1"/>
                <c:pt idx="0">
                  <c:v>[Scenario 2] - Charged as Rate DTS Only</c:v>
                </c:pt>
              </c:strCache>
            </c:strRef>
          </c:tx>
          <c:spPr>
            <a:solidFill>
              <a:schemeClr val="accent3"/>
            </a:solidFill>
            <a:ln>
              <a:noFill/>
            </a:ln>
            <a:effectLst/>
          </c:spPr>
          <c:invertIfNegative val="0"/>
          <c:dPt>
            <c:idx val="2"/>
            <c:invertIfNegative val="0"/>
            <c:bubble3D val="0"/>
            <c:spPr>
              <a:pattFill prst="dkUpDiag">
                <a:fgClr>
                  <a:srgbClr val="92D050"/>
                </a:fgClr>
                <a:bgClr>
                  <a:schemeClr val="bg1"/>
                </a:bgClr>
              </a:pattFill>
              <a:ln>
                <a:noFill/>
              </a:ln>
              <a:effectLst/>
            </c:spPr>
            <c:extLst>
              <c:ext xmlns:c16="http://schemas.microsoft.com/office/drawing/2014/chart" uri="{C3380CC4-5D6E-409C-BE32-E72D297353CC}">
                <c16:uniqueId val="{0000000C-54A3-48CD-97D8-A6E02D941ED3}"/>
              </c:ext>
            </c:extLst>
          </c:dPt>
          <c:dPt>
            <c:idx val="3"/>
            <c:invertIfNegative val="0"/>
            <c:bubble3D val="0"/>
            <c:spPr>
              <a:pattFill prst="pct10">
                <a:fgClr>
                  <a:schemeClr val="bg1">
                    <a:lumMod val="50000"/>
                  </a:schemeClr>
                </a:fgClr>
                <a:bgClr>
                  <a:schemeClr val="bg1"/>
                </a:bgClr>
              </a:pattFill>
              <a:ln>
                <a:solidFill>
                  <a:schemeClr val="bg1">
                    <a:lumMod val="50000"/>
                  </a:schemeClr>
                </a:solidFill>
              </a:ln>
              <a:effectLst/>
            </c:spPr>
            <c:extLst>
              <c:ext xmlns:c16="http://schemas.microsoft.com/office/drawing/2014/chart" uri="{C3380CC4-5D6E-409C-BE32-E72D297353CC}">
                <c16:uniqueId val="{0000000E-54A3-48CD-97D8-A6E02D941ED3}"/>
              </c:ext>
            </c:extLst>
          </c:dPt>
          <c:dLbls>
            <c:dLbl>
              <c:idx val="0"/>
              <c:delete val="1"/>
              <c:extLst>
                <c:ext xmlns:c15="http://schemas.microsoft.com/office/drawing/2012/chart" uri="{CE6537A1-D6FC-4f65-9D91-7224C49458BB}"/>
                <c:ext xmlns:c16="http://schemas.microsoft.com/office/drawing/2014/chart" uri="{C3380CC4-5D6E-409C-BE32-E72D297353CC}">
                  <c16:uniqueId val="{0000000A-54A3-48CD-97D8-A6E02D941ED3}"/>
                </c:ext>
              </c:extLst>
            </c:dLbl>
            <c:dLbl>
              <c:idx val="1"/>
              <c:delete val="1"/>
              <c:extLst>
                <c:ext xmlns:c15="http://schemas.microsoft.com/office/drawing/2012/chart" uri="{CE6537A1-D6FC-4f65-9D91-7224C49458BB}"/>
                <c:ext xmlns:c16="http://schemas.microsoft.com/office/drawing/2014/chart" uri="{C3380CC4-5D6E-409C-BE32-E72D297353CC}">
                  <c16:uniqueId val="{0000000B-54A3-48CD-97D8-A6E02D941ED3}"/>
                </c:ext>
              </c:extLst>
            </c:dLbl>
            <c:dLbl>
              <c:idx val="2"/>
              <c:tx>
                <c:rich>
                  <a:bodyPr/>
                  <a:lstStyle/>
                  <a:p>
                    <a:fld id="{AB8962AA-2871-4DA3-9669-3BC35C9E3401}"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4A3-48CD-97D8-A6E02D941ED3}"/>
                </c:ext>
              </c:extLst>
            </c:dLbl>
            <c:dLbl>
              <c:idx val="3"/>
              <c:tx>
                <c:rich>
                  <a:bodyPr/>
                  <a:lstStyle/>
                  <a:p>
                    <a:fld id="{381052B7-6F0D-40EB-BAE9-9C2879036EFC}"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4A3-48CD-97D8-A6E02D941E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'With Rate DTS Reduction'!$A$36:$A$39</c:f>
              <c:strCache>
                <c:ptCount val="4"/>
                <c:pt idx="0">
                  <c:v>Scenario 1 - Rate DTS Only (Existing Load Profile)</c:v>
                </c:pt>
                <c:pt idx="1">
                  <c:v>Scenario 2 - with Rate DTS and Rate DOS - Dispatchable</c:v>
                </c:pt>
                <c:pt idx="2">
                  <c:v>Additional Transmission Revenue with DOS Dispatchable*</c:v>
                </c:pt>
                <c:pt idx="3">
                  <c:v>[Scenario 2] - Charged as Rate DTS Only</c:v>
                </c:pt>
              </c:strCache>
            </c:strRef>
          </c:cat>
          <c:val>
            <c:numRef>
              <c:f>'With Rate DTS Reduction'!$K$36:$K$39</c:f>
              <c:numCache>
                <c:formatCode>_("$"* #,##0_);_("$"* \(#,##0\);_("$"* "-"??_);_(@_)</c:formatCode>
                <c:ptCount val="4"/>
                <c:pt idx="0">
                  <c:v>0</c:v>
                </c:pt>
                <c:pt idx="1">
                  <c:v>0</c:v>
                </c:pt>
                <c:pt idx="2">
                  <c:v>347550.1679999996</c:v>
                </c:pt>
                <c:pt idx="3">
                  <c:v>4883829</c:v>
                </c:pt>
              </c:numCache>
            </c:numRef>
          </c:val>
          <c:extLst>
            <c:ext xmlns:c15="http://schemas.microsoft.com/office/drawing/2012/chart" uri="{02D57815-91ED-43cb-92C2-25804820EDAC}">
              <c15:datalabelsRange>
                <c15:f>'With Rate DTS Reduction'!$N$36:$N$39</c15:f>
                <c15:dlblRangeCache>
                  <c:ptCount val="4"/>
                  <c:pt idx="0">
                    <c:v>--</c:v>
                  </c:pt>
                  <c:pt idx="1">
                    <c:v>+3.3% </c:v>
                  </c:pt>
                  <c:pt idx="2">
                    <c:v>+3.3% </c:v>
                  </c:pt>
                  <c:pt idx="3">
                    <c:v>+50.2% </c:v>
                  </c:pt>
                </c15:dlblRangeCache>
              </c15:datalabelsRange>
            </c:ext>
            <c:ext xmlns:c16="http://schemas.microsoft.com/office/drawing/2014/chart" uri="{C3380CC4-5D6E-409C-BE32-E72D297353CC}">
              <c16:uniqueId val="{0000000A-4F1D-4526-BC24-97F9896B4AC3}"/>
            </c:ext>
          </c:extLst>
        </c:ser>
        <c:dLbls>
          <c:showLegendKey val="0"/>
          <c:showVal val="0"/>
          <c:showCatName val="0"/>
          <c:showSerName val="0"/>
          <c:showPercent val="0"/>
          <c:showBubbleSize val="0"/>
        </c:dLbls>
        <c:gapWidth val="150"/>
        <c:overlap val="100"/>
        <c:axId val="605615120"/>
        <c:axId val="478826128"/>
      </c:barChart>
      <c:catAx>
        <c:axId val="6056151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r>
                  <a:rPr lang="en-US"/>
                  <a:t>Rate Comparison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478826128"/>
        <c:crosses val="autoZero"/>
        <c:auto val="1"/>
        <c:lblAlgn val="ctr"/>
        <c:lblOffset val="100"/>
        <c:noMultiLvlLbl val="0"/>
      </c:catAx>
      <c:valAx>
        <c:axId val="478826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r>
                  <a:rPr lang="en-US"/>
                  <a:t>Annual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05615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457200</xdr:colOff>
      <xdr:row>7</xdr:row>
      <xdr:rowOff>64135</xdr:rowOff>
    </xdr:to>
    <xdr:pic>
      <xdr:nvPicPr>
        <xdr:cNvPr id="5" name="Picture 4" descr="Description: AESO Banner 2">
          <a:extLst>
            <a:ext uri="{FF2B5EF4-FFF2-40B4-BE49-F238E27FC236}">
              <a16:creationId xmlns:a16="http://schemas.microsoft.com/office/drawing/2014/main" id="{CFECBD57-549A-D961-A465-E8CE17D264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58050" cy="1197610"/>
        </a:xfrm>
        <a:prstGeom prst="rect">
          <a:avLst/>
        </a:prstGeom>
        <a:noFill/>
        <a:ln>
          <a:noFill/>
        </a:ln>
      </xdr:spPr>
    </xdr:pic>
    <xdr:clientData/>
  </xdr:twoCellAnchor>
  <xdr:twoCellAnchor editAs="absolute">
    <xdr:from>
      <xdr:col>1</xdr:col>
      <xdr:colOff>10795</xdr:colOff>
      <xdr:row>1</xdr:row>
      <xdr:rowOff>26670</xdr:rowOff>
    </xdr:from>
    <xdr:to>
      <xdr:col>6</xdr:col>
      <xdr:colOff>238750</xdr:colOff>
      <xdr:row>6</xdr:row>
      <xdr:rowOff>133398</xdr:rowOff>
    </xdr:to>
    <xdr:sp macro="" textlink="">
      <xdr:nvSpPr>
        <xdr:cNvPr id="3" name="Text Box 2">
          <a:extLst>
            <a:ext uri="{FF2B5EF4-FFF2-40B4-BE49-F238E27FC236}">
              <a16:creationId xmlns:a16="http://schemas.microsoft.com/office/drawing/2014/main" id="{78E4D3FB-9EE6-4CE5-8E52-F67B805BC4C2}"/>
            </a:ext>
          </a:extLst>
        </xdr:cNvPr>
        <xdr:cNvSpPr txBox="1">
          <a:spLocks noChangeArrowheads="1"/>
        </xdr:cNvSpPr>
      </xdr:nvSpPr>
      <xdr:spPr bwMode="auto">
        <a:xfrm>
          <a:off x="515620" y="188595"/>
          <a:ext cx="6019155" cy="9163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800" b="0" i="0" u="none" strike="noStrike" baseline="0">
              <a:solidFill>
                <a:schemeClr val="tx2"/>
              </a:solidFill>
              <a:latin typeface="Arial"/>
              <a:cs typeface="Arial"/>
            </a:rPr>
            <a:t>Schedule B</a:t>
          </a:r>
        </a:p>
        <a:p>
          <a:pPr algn="l" rtl="0">
            <a:defRPr sz="1000"/>
          </a:pPr>
          <a:r>
            <a:rPr lang="en-CA" sz="1800" b="0" i="0" u="none" strike="noStrike" baseline="0">
              <a:solidFill>
                <a:schemeClr val="tx2"/>
              </a:solidFill>
              <a:latin typeface="Arial"/>
              <a:cs typeface="Arial"/>
            </a:rPr>
            <a:t>Load Characteristics</a:t>
          </a:r>
        </a:p>
      </xdr:txBody>
    </xdr:sp>
    <xdr:clientData/>
  </xdr:twoCellAnchor>
  <xdr:twoCellAnchor>
    <xdr:from>
      <xdr:col>1</xdr:col>
      <xdr:colOff>0</xdr:colOff>
      <xdr:row>55</xdr:row>
      <xdr:rowOff>0</xdr:rowOff>
    </xdr:from>
    <xdr:to>
      <xdr:col>2</xdr:col>
      <xdr:colOff>994875</xdr:colOff>
      <xdr:row>55</xdr:row>
      <xdr:rowOff>0</xdr:rowOff>
    </xdr:to>
    <xdr:cxnSp macro="">
      <xdr:nvCxnSpPr>
        <xdr:cNvPr id="4" name="Straight Connector 3">
          <a:extLst>
            <a:ext uri="{FF2B5EF4-FFF2-40B4-BE49-F238E27FC236}">
              <a16:creationId xmlns:a16="http://schemas.microsoft.com/office/drawing/2014/main" id="{0268C54F-23A3-498F-A6A5-28D13BC45683}"/>
            </a:ext>
          </a:extLst>
        </xdr:cNvPr>
        <xdr:cNvCxnSpPr/>
      </xdr:nvCxnSpPr>
      <xdr:spPr>
        <a:xfrm>
          <a:off x="504825" y="13411200"/>
          <a:ext cx="18330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absoluteAnchor>
    <xdr:pos x="521999" y="2752965"/>
    <xdr:ext cx="8066376" cy="2588974"/>
    <xdr:graphicFrame macro="">
      <xdr:nvGraphicFramePr>
        <xdr:cNvPr id="2" name="Chart 1">
          <a:extLst>
            <a:ext uri="{FF2B5EF4-FFF2-40B4-BE49-F238E27FC236}">
              <a16:creationId xmlns:a16="http://schemas.microsoft.com/office/drawing/2014/main" id="{4E444EA5-7BB0-4D7B-8802-6B0FD66F4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4</xdr:col>
      <xdr:colOff>410308</xdr:colOff>
      <xdr:row>15</xdr:row>
      <xdr:rowOff>44450</xdr:rowOff>
    </xdr:from>
    <xdr:to>
      <xdr:col>6</xdr:col>
      <xdr:colOff>848458</xdr:colOff>
      <xdr:row>26</xdr:row>
      <xdr:rowOff>65653</xdr:rowOff>
    </xdr:to>
    <xdr:sp macro="" textlink="">
      <xdr:nvSpPr>
        <xdr:cNvPr id="4" name="Rectangle 3">
          <a:extLst>
            <a:ext uri="{FF2B5EF4-FFF2-40B4-BE49-F238E27FC236}">
              <a16:creationId xmlns:a16="http://schemas.microsoft.com/office/drawing/2014/main" id="{CD2D3DAF-1C92-CBA7-B166-C1D857A5D649}"/>
            </a:ext>
          </a:extLst>
        </xdr:cNvPr>
        <xdr:cNvSpPr/>
      </xdr:nvSpPr>
      <xdr:spPr>
        <a:xfrm>
          <a:off x="6087208" y="2882900"/>
          <a:ext cx="2355850" cy="1824603"/>
        </a:xfrm>
        <a:prstGeom prst="rect">
          <a:avLst/>
        </a:prstGeom>
        <a:solidFill>
          <a:schemeClr val="bg1">
            <a:lumMod val="85000"/>
            <a:alpha val="3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0.03534</cdr:x>
      <cdr:y>0.65957</cdr:y>
    </cdr:from>
    <cdr:to>
      <cdr:x>0.16099</cdr:x>
      <cdr:y>1</cdr:y>
    </cdr:to>
    <cdr:sp macro="" textlink="">
      <cdr:nvSpPr>
        <cdr:cNvPr id="2" name="TextBox 1">
          <a:extLst xmlns:a="http://schemas.openxmlformats.org/drawingml/2006/main">
            <a:ext uri="{FF2B5EF4-FFF2-40B4-BE49-F238E27FC236}">
              <a16:creationId xmlns:a16="http://schemas.microsoft.com/office/drawing/2014/main" id="{B790A919-0D7E-4446-92B9-D8D0622639B5}"/>
            </a:ext>
          </a:extLst>
        </cdr:cNvPr>
        <cdr:cNvSpPr txBox="1"/>
      </cdr:nvSpPr>
      <cdr:spPr>
        <a:xfrm xmlns:a="http://schemas.openxmlformats.org/drawingml/2006/main">
          <a:off x="257175" y="22288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4.xml><?xml version="1.0" encoding="utf-8"?>
<xdr:wsDr xmlns:xdr="http://schemas.openxmlformats.org/drawingml/2006/spreadsheetDrawing" xmlns:a="http://schemas.openxmlformats.org/drawingml/2006/main">
  <xdr:absoluteAnchor>
    <xdr:pos x="1018215" y="2818630"/>
    <xdr:ext cx="6399740" cy="2723188"/>
    <xdr:graphicFrame macro="">
      <xdr:nvGraphicFramePr>
        <xdr:cNvPr id="2" name="Chart 1">
          <a:extLst>
            <a:ext uri="{FF2B5EF4-FFF2-40B4-BE49-F238E27FC236}">
              <a16:creationId xmlns:a16="http://schemas.microsoft.com/office/drawing/2014/main" id="{D46C4D4D-C338-4F50-9A9B-9B346A6105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3</xdr:col>
      <xdr:colOff>914400</xdr:colOff>
      <xdr:row>16</xdr:row>
      <xdr:rowOff>25400</xdr:rowOff>
    </xdr:from>
    <xdr:to>
      <xdr:col>6</xdr:col>
      <xdr:colOff>533401</xdr:colOff>
      <xdr:row>27</xdr:row>
      <xdr:rowOff>57150</xdr:rowOff>
    </xdr:to>
    <xdr:sp macro="" textlink="">
      <xdr:nvSpPr>
        <xdr:cNvPr id="4" name="Rectangle 3">
          <a:extLst>
            <a:ext uri="{FF2B5EF4-FFF2-40B4-BE49-F238E27FC236}">
              <a16:creationId xmlns:a16="http://schemas.microsoft.com/office/drawing/2014/main" id="{A85173FD-928F-4D38-9796-A355B248B5C8}"/>
            </a:ext>
          </a:extLst>
        </xdr:cNvPr>
        <xdr:cNvSpPr/>
      </xdr:nvSpPr>
      <xdr:spPr>
        <a:xfrm>
          <a:off x="4806950" y="3028950"/>
          <a:ext cx="2495551" cy="1835150"/>
        </a:xfrm>
        <a:prstGeom prst="rect">
          <a:avLst/>
        </a:prstGeom>
        <a:solidFill>
          <a:schemeClr val="bg1">
            <a:lumMod val="85000"/>
            <a:alpha val="3200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0.03534</cdr:x>
      <cdr:y>0.65957</cdr:y>
    </cdr:from>
    <cdr:to>
      <cdr:x>0.16099</cdr:x>
      <cdr:y>1</cdr:y>
    </cdr:to>
    <cdr:sp macro="" textlink="">
      <cdr:nvSpPr>
        <cdr:cNvPr id="2" name="TextBox 1">
          <a:extLst xmlns:a="http://schemas.openxmlformats.org/drawingml/2006/main">
            <a:ext uri="{FF2B5EF4-FFF2-40B4-BE49-F238E27FC236}">
              <a16:creationId xmlns:a16="http://schemas.microsoft.com/office/drawing/2014/main" id="{B790A919-0D7E-4446-92B9-D8D0622639B5}"/>
            </a:ext>
          </a:extLst>
        </cdr:cNvPr>
        <cdr:cNvSpPr txBox="1"/>
      </cdr:nvSpPr>
      <cdr:spPr>
        <a:xfrm xmlns:a="http://schemas.openxmlformats.org/drawingml/2006/main">
          <a:off x="257175" y="22288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eso-my.sharepoint.com/personal/larhonda_papworth_aeso_ca/Documents/Desktop/Impact/Bill-Impact-Tool-v1.0_Testing%20DOS%20Impact.xlsx" TargetMode="External"/><Relationship Id="rId1" Type="http://schemas.openxmlformats.org/officeDocument/2006/relationships/externalLinkPath" Target="https://aeso-my.sharepoint.com/personal/larhonda_papworth_aeso_ca/Documents/Desktop/Impact/Bill-Impact-Tool-v1.0_Testing%20DOS%20Imp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tion "/>
      <sheetName val="Annual Summary"/>
      <sheetName val="Adjust Load Profile"/>
      <sheetName val="Site Data Input"/>
      <sheetName val="Year 2020"/>
      <sheetName val="Year 2019"/>
      <sheetName val="Year 2018"/>
      <sheetName val="Year 2017"/>
      <sheetName val="Year 2016"/>
      <sheetName val="Lookup"/>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s.operations@aeso.c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A405F-DD30-4367-845E-0E83FD07A566}">
  <sheetPr>
    <pageSetUpPr fitToPage="1"/>
  </sheetPr>
  <dimension ref="A7:G72"/>
  <sheetViews>
    <sheetView showGridLines="0" tabSelected="1" zoomScaleNormal="100" workbookViewId="0">
      <selection activeCell="B9" sqref="B9:F13"/>
    </sheetView>
  </sheetViews>
  <sheetFormatPr defaultRowHeight="12.75" x14ac:dyDescent="0.2"/>
  <cols>
    <col min="1" max="1" width="7.5703125" customWidth="1"/>
    <col min="2" max="2" width="12.5703125" customWidth="1"/>
    <col min="3" max="3" width="19.42578125" customWidth="1"/>
    <col min="4" max="4" width="21.42578125" customWidth="1"/>
    <col min="5" max="5" width="20.85546875" customWidth="1"/>
    <col min="6" max="6" width="12.5703125" customWidth="1"/>
    <col min="7" max="7" width="7.5703125" customWidth="1"/>
  </cols>
  <sheetData>
    <row r="7" spans="2:6" ht="12.75" customHeight="1" x14ac:dyDescent="0.2"/>
    <row r="9" spans="2:6" s="57" customFormat="1" ht="6.6" customHeight="1" x14ac:dyDescent="0.2">
      <c r="B9" s="298" t="s">
        <v>0</v>
      </c>
      <c r="C9" s="299"/>
      <c r="D9" s="299"/>
      <c r="E9" s="299"/>
      <c r="F9" s="299"/>
    </row>
    <row r="10" spans="2:6" s="57" customFormat="1" ht="12.75" customHeight="1" x14ac:dyDescent="0.2">
      <c r="B10" s="299"/>
      <c r="C10" s="299"/>
      <c r="D10" s="299"/>
      <c r="E10" s="299"/>
      <c r="F10" s="299"/>
    </row>
    <row r="11" spans="2:6" s="57" customFormat="1" ht="12.75" customHeight="1" x14ac:dyDescent="0.2">
      <c r="B11" s="299"/>
      <c r="C11" s="299"/>
      <c r="D11" s="299"/>
      <c r="E11" s="299"/>
      <c r="F11" s="299"/>
    </row>
    <row r="12" spans="2:6" s="57" customFormat="1" ht="12.75" customHeight="1" x14ac:dyDescent="0.2">
      <c r="B12" s="299"/>
      <c r="C12" s="299"/>
      <c r="D12" s="299"/>
      <c r="E12" s="299"/>
      <c r="F12" s="299"/>
    </row>
    <row r="13" spans="2:6" s="57" customFormat="1" ht="12.75" customHeight="1" x14ac:dyDescent="0.2">
      <c r="B13" s="299"/>
      <c r="C13" s="299"/>
      <c r="D13" s="299"/>
      <c r="E13" s="299"/>
      <c r="F13" s="299"/>
    </row>
    <row r="14" spans="2:6" s="59" customFormat="1" ht="6.75" customHeight="1" x14ac:dyDescent="0.2"/>
    <row r="15" spans="2:6" s="2" customFormat="1" ht="15.75" x14ac:dyDescent="0.25">
      <c r="B15" s="90" t="s">
        <v>1</v>
      </c>
    </row>
    <row r="16" spans="2:6" s="60" customFormat="1" ht="6.75" customHeight="1" x14ac:dyDescent="0.15"/>
    <row r="17" spans="1:7" s="134" customFormat="1" ht="30.75" customHeight="1" x14ac:dyDescent="0.2">
      <c r="B17" s="300" t="s">
        <v>2</v>
      </c>
      <c r="C17" s="300"/>
      <c r="D17" s="300"/>
      <c r="E17" s="300"/>
      <c r="F17" s="300"/>
      <c r="G17" s="300"/>
    </row>
    <row r="18" spans="1:7" s="59" customFormat="1" ht="6.75" customHeight="1" x14ac:dyDescent="0.2"/>
    <row r="19" spans="1:7" s="134" customFormat="1" ht="30.6" customHeight="1" x14ac:dyDescent="0.2">
      <c r="B19" s="300" t="s">
        <v>3</v>
      </c>
      <c r="C19" s="300"/>
      <c r="D19" s="300"/>
      <c r="E19" s="300"/>
      <c r="F19" s="300"/>
      <c r="G19" s="300"/>
    </row>
    <row r="20" spans="1:7" s="57" customFormat="1" ht="6.75" customHeight="1" x14ac:dyDescent="0.2"/>
    <row r="21" spans="1:7" s="2" customFormat="1" ht="15.75" x14ac:dyDescent="0.25">
      <c r="B21" s="90" t="s">
        <v>4</v>
      </c>
    </row>
    <row r="22" spans="1:7" s="60" customFormat="1" ht="6.75" x14ac:dyDescent="0.15"/>
    <row r="23" spans="1:7" s="134" customFormat="1" ht="39" customHeight="1" x14ac:dyDescent="0.2">
      <c r="B23" s="300" t="s">
        <v>5</v>
      </c>
      <c r="C23" s="300"/>
      <c r="D23" s="300"/>
      <c r="E23" s="300"/>
      <c r="F23" s="300"/>
      <c r="G23" s="300"/>
    </row>
    <row r="24" spans="1:7" s="61" customFormat="1" ht="6.75" customHeight="1" x14ac:dyDescent="0.15"/>
    <row r="25" spans="1:7" s="65" customFormat="1" ht="16.5" x14ac:dyDescent="0.2">
      <c r="A25" s="1"/>
      <c r="B25" s="65" t="s">
        <v>6</v>
      </c>
    </row>
    <row r="26" spans="1:7" s="57" customFormat="1" x14ac:dyDescent="0.2">
      <c r="B26" s="143" t="s">
        <v>7</v>
      </c>
      <c r="C26" s="143"/>
      <c r="D26" s="142"/>
      <c r="E26" s="142"/>
      <c r="F26" s="142"/>
      <c r="G26" s="142"/>
    </row>
    <row r="27" spans="1:7" s="57" customFormat="1" x14ac:dyDescent="0.2">
      <c r="B27" s="143" t="s">
        <v>8</v>
      </c>
      <c r="C27" s="143"/>
      <c r="D27" s="142"/>
      <c r="E27" s="142"/>
      <c r="F27" s="142"/>
      <c r="G27" s="142"/>
    </row>
    <row r="28" spans="1:7" s="57" customFormat="1" x14ac:dyDescent="0.2">
      <c r="B28" s="143" t="s">
        <v>9</v>
      </c>
      <c r="C28" s="143"/>
      <c r="D28" s="142"/>
      <c r="E28" s="142"/>
      <c r="F28" s="142"/>
      <c r="G28" s="142"/>
    </row>
    <row r="29" spans="1:7" s="59" customFormat="1" ht="6.75" customHeight="1" x14ac:dyDescent="0.2"/>
    <row r="30" spans="1:7" s="134" customFormat="1" ht="28.5" customHeight="1" x14ac:dyDescent="0.2">
      <c r="B30" s="300" t="s">
        <v>10</v>
      </c>
      <c r="C30" s="300"/>
      <c r="D30" s="300"/>
      <c r="E30" s="300"/>
      <c r="F30" s="300"/>
      <c r="G30" s="300"/>
    </row>
    <row r="31" spans="1:7" s="61" customFormat="1" ht="6.75" customHeight="1" x14ac:dyDescent="0.15"/>
    <row r="32" spans="1:7" s="65" customFormat="1" ht="16.5" x14ac:dyDescent="0.2">
      <c r="A32" s="1"/>
      <c r="B32" s="118" t="s">
        <v>11</v>
      </c>
      <c r="C32" s="118"/>
      <c r="D32" s="118"/>
      <c r="E32" s="118"/>
      <c r="F32" s="118"/>
      <c r="G32" s="118"/>
    </row>
    <row r="33" spans="1:7" s="57" customFormat="1" x14ac:dyDescent="0.2">
      <c r="B33" s="133" t="s">
        <v>12</v>
      </c>
      <c r="C33" s="119"/>
      <c r="D33" s="119"/>
      <c r="E33" s="119"/>
      <c r="F33" s="119"/>
      <c r="G33" s="119"/>
    </row>
    <row r="34" spans="1:7" s="57" customFormat="1" x14ac:dyDescent="0.2">
      <c r="B34" s="133"/>
      <c r="C34" s="119"/>
      <c r="D34" s="119"/>
      <c r="E34" s="119"/>
      <c r="F34" s="119"/>
      <c r="G34" s="119"/>
    </row>
    <row r="35" spans="1:7" s="57" customFormat="1" x14ac:dyDescent="0.2">
      <c r="B35" s="119"/>
      <c r="C35" s="119"/>
      <c r="D35" s="119"/>
      <c r="E35" s="119"/>
      <c r="F35" s="119"/>
      <c r="G35" s="119"/>
    </row>
    <row r="36" spans="1:7" s="57" customFormat="1" ht="6.75" customHeight="1" x14ac:dyDescent="0.2"/>
    <row r="37" spans="1:7" s="65" customFormat="1" ht="16.5" x14ac:dyDescent="0.2">
      <c r="A37" s="1"/>
      <c r="B37" s="253" t="s">
        <v>13</v>
      </c>
      <c r="C37" s="254"/>
      <c r="D37" s="254"/>
      <c r="E37" s="254"/>
      <c r="F37" s="254"/>
      <c r="G37" s="254"/>
    </row>
    <row r="38" spans="1:7" s="57" customFormat="1" ht="39" customHeight="1" x14ac:dyDescent="0.2">
      <c r="B38" s="304" t="s">
        <v>14</v>
      </c>
      <c r="C38" s="304"/>
      <c r="D38" s="304"/>
      <c r="E38" s="304"/>
      <c r="F38" s="304"/>
      <c r="G38" s="304"/>
    </row>
    <row r="39" spans="1:7" s="57" customFormat="1" x14ac:dyDescent="0.2">
      <c r="B39" s="255"/>
      <c r="C39" s="255"/>
      <c r="D39" s="255"/>
      <c r="E39" s="255"/>
      <c r="F39" s="255"/>
      <c r="G39" s="255"/>
    </row>
    <row r="40" spans="1:7" s="57" customFormat="1" ht="6.75" customHeight="1" x14ac:dyDescent="0.2"/>
    <row r="41" spans="1:7" s="57" customFormat="1" x14ac:dyDescent="0.2">
      <c r="B41" s="121" t="s">
        <v>15</v>
      </c>
      <c r="C41" s="121"/>
      <c r="D41" s="121"/>
      <c r="E41" s="120"/>
      <c r="F41" s="120" t="s">
        <v>16</v>
      </c>
    </row>
    <row r="42" spans="1:7" s="57" customFormat="1" x14ac:dyDescent="0.2"/>
    <row r="43" spans="1:7" s="91" customFormat="1" x14ac:dyDescent="0.2">
      <c r="B43" s="90" t="s">
        <v>17</v>
      </c>
    </row>
    <row r="44" spans="1:7" s="91" customFormat="1" ht="6.75" customHeight="1" x14ac:dyDescent="0.2"/>
    <row r="45" spans="1:7" s="91" customFormat="1" x14ac:dyDescent="0.2">
      <c r="B45" s="92" t="s">
        <v>18</v>
      </c>
    </row>
    <row r="46" spans="1:7" s="91" customFormat="1" x14ac:dyDescent="0.2">
      <c r="B46" s="92" t="s">
        <v>19</v>
      </c>
    </row>
    <row r="47" spans="1:7" s="57" customFormat="1" x14ac:dyDescent="0.2">
      <c r="B47" s="93"/>
    </row>
    <row r="48" spans="1:7" ht="15.75" x14ac:dyDescent="0.25">
      <c r="B48" s="90" t="s">
        <v>20</v>
      </c>
      <c r="C48" s="2"/>
      <c r="D48" s="2"/>
      <c r="E48" s="2"/>
      <c r="F48" s="2"/>
    </row>
    <row r="49" spans="1:6" s="66" customFormat="1" ht="6.75" x14ac:dyDescent="0.15"/>
    <row r="50" spans="1:6" s="58" customFormat="1" ht="22.35" customHeight="1" x14ac:dyDescent="0.2">
      <c r="B50" s="85" t="s">
        <v>21</v>
      </c>
      <c r="C50" s="88" t="s">
        <v>22</v>
      </c>
      <c r="D50" s="86"/>
      <c r="E50" s="86"/>
      <c r="F50" s="87"/>
    </row>
    <row r="51" spans="1:6" s="58" customFormat="1" ht="25.5" customHeight="1" x14ac:dyDescent="0.2">
      <c r="B51" s="297">
        <v>45689</v>
      </c>
      <c r="C51" s="68" t="s">
        <v>23</v>
      </c>
      <c r="D51" s="69"/>
      <c r="E51" s="69"/>
      <c r="F51" s="70"/>
    </row>
    <row r="52" spans="1:6" s="58" customFormat="1" ht="30" customHeight="1" x14ac:dyDescent="0.2">
      <c r="B52" s="67"/>
      <c r="C52" s="301"/>
      <c r="D52" s="302"/>
      <c r="E52" s="302"/>
      <c r="F52" s="303"/>
    </row>
    <row r="53" spans="1:6" s="58" customFormat="1" ht="30" customHeight="1" x14ac:dyDescent="0.2">
      <c r="B53" s="67"/>
      <c r="C53" s="301"/>
      <c r="D53" s="302"/>
      <c r="E53" s="302"/>
      <c r="F53" s="303"/>
    </row>
    <row r="54" spans="1:6" s="57" customFormat="1" x14ac:dyDescent="0.2"/>
    <row r="55" spans="1:6" s="57" customFormat="1" ht="18" customHeight="1" x14ac:dyDescent="0.2"/>
    <row r="56" spans="1:6" s="57" customFormat="1" x14ac:dyDescent="0.2"/>
    <row r="57" spans="1:6" s="57" customFormat="1" ht="13.5" x14ac:dyDescent="0.2">
      <c r="B57" s="256" t="s">
        <v>24</v>
      </c>
    </row>
    <row r="58" spans="1:6" s="57" customFormat="1" x14ac:dyDescent="0.2">
      <c r="B58" s="256" t="s">
        <v>25</v>
      </c>
    </row>
    <row r="59" spans="1:6" s="62" customFormat="1" ht="12" customHeight="1" x14ac:dyDescent="0.2">
      <c r="B59" s="256" t="s">
        <v>26</v>
      </c>
    </row>
    <row r="60" spans="1:6" s="62" customFormat="1" ht="12" customHeight="1" x14ac:dyDescent="0.2">
      <c r="B60" s="89" t="s">
        <v>27</v>
      </c>
    </row>
    <row r="61" spans="1:6" s="62" customFormat="1" ht="12" customHeight="1" x14ac:dyDescent="0.2"/>
    <row r="62" spans="1:6" s="63" customFormat="1" ht="12" customHeight="1" x14ac:dyDescent="0.2"/>
    <row r="63" spans="1:6" s="57" customFormat="1" x14ac:dyDescent="0.2">
      <c r="A63" s="57" t="s">
        <v>28</v>
      </c>
    </row>
    <row r="64" spans="1:6" s="64" customFormat="1" x14ac:dyDescent="0.2"/>
    <row r="65" s="36" customFormat="1" ht="18" customHeight="1" x14ac:dyDescent="0.2"/>
    <row r="66" s="36" customFormat="1" x14ac:dyDescent="0.2"/>
    <row r="67" s="36" customFormat="1" x14ac:dyDescent="0.2"/>
    <row r="68" s="36" customFormat="1" x14ac:dyDescent="0.2"/>
    <row r="69" s="36" customFormat="1" x14ac:dyDescent="0.2"/>
    <row r="70" s="36" customFormat="1" x14ac:dyDescent="0.2"/>
    <row r="71" s="36" customFormat="1" x14ac:dyDescent="0.2"/>
    <row r="72" s="36" customFormat="1" x14ac:dyDescent="0.2"/>
  </sheetData>
  <mergeCells count="8">
    <mergeCell ref="B9:F13"/>
    <mergeCell ref="B17:G17"/>
    <mergeCell ref="B19:G19"/>
    <mergeCell ref="B23:G23"/>
    <mergeCell ref="C53:F53"/>
    <mergeCell ref="B30:G30"/>
    <mergeCell ref="B38:G38"/>
    <mergeCell ref="C52:F52"/>
  </mergeCells>
  <hyperlinks>
    <hyperlink ref="F41" r:id="rId1" xr:uid="{0F53D0AD-5A15-4159-95F5-9C80B5D931CE}"/>
  </hyperlinks>
  <pageMargins left="0.25" right="0.25" top="0.25" bottom="0.5" header="0.35" footer="0.3"/>
  <pageSetup scale="76" orientation="portrait" r:id="rId2"/>
  <headerFooter alignWithMargins="0">
    <oddFooter>&amp;L&amp;8Posted: 2021-01-08&amp;C&amp;8Page 1&amp;R&amp;8Public</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923D9-4CA6-4ADC-86F9-D281B8418496}">
  <sheetPr>
    <tabColor theme="7" tint="0.59999389629810485"/>
    <pageSetUpPr fitToPage="1"/>
  </sheetPr>
  <dimension ref="A1:AD40"/>
  <sheetViews>
    <sheetView showGridLines="0" topLeftCell="A10" zoomScaleNormal="100" workbookViewId="0"/>
  </sheetViews>
  <sheetFormatPr defaultColWidth="9.5703125" defaultRowHeight="12.75" x14ac:dyDescent="0.2"/>
  <cols>
    <col min="1" max="1" width="9.5703125" style="197" customWidth="1"/>
    <col min="2" max="2" width="39.7109375" style="197" customWidth="1"/>
    <col min="3" max="3" width="18.28515625" style="197" customWidth="1"/>
    <col min="4" max="20" width="13.7109375" style="197" customWidth="1"/>
    <col min="21" max="21" width="10.42578125" style="197" customWidth="1"/>
    <col min="22" max="22" width="15.7109375" style="197" customWidth="1"/>
    <col min="23" max="23" width="9.5703125" style="197"/>
    <col min="24" max="24" width="10.5703125" style="197" customWidth="1"/>
    <col min="25" max="25" width="15.28515625" style="197" customWidth="1"/>
    <col min="26" max="27" width="10.42578125" style="197" customWidth="1"/>
    <col min="28" max="28" width="15.140625" style="197" customWidth="1"/>
    <col min="29" max="16384" width="9.5703125" style="197"/>
  </cols>
  <sheetData>
    <row r="1" spans="1:30" s="7" customFormat="1" ht="15.75" x14ac:dyDescent="0.25">
      <c r="A1" s="258" t="s">
        <v>29</v>
      </c>
      <c r="B1" s="257"/>
      <c r="C1" s="199"/>
      <c r="D1" s="257"/>
      <c r="E1" s="257"/>
      <c r="F1" s="257"/>
      <c r="G1" s="257"/>
      <c r="I1" s="265"/>
      <c r="J1" s="265"/>
      <c r="K1" s="262"/>
      <c r="L1" s="262"/>
      <c r="M1" s="262"/>
      <c r="N1" s="262"/>
      <c r="O1" s="264" t="s">
        <v>30</v>
      </c>
    </row>
    <row r="2" spans="1:30" s="7" customFormat="1" x14ac:dyDescent="0.2">
      <c r="A2" s="258" t="s">
        <v>31</v>
      </c>
      <c r="B2" s="257"/>
      <c r="C2" s="258"/>
      <c r="D2" s="257"/>
      <c r="E2" s="257"/>
      <c r="F2" s="257"/>
      <c r="G2" s="257"/>
      <c r="H2" s="257"/>
      <c r="I2" s="257"/>
      <c r="J2" s="257"/>
      <c r="K2" s="257"/>
      <c r="L2" s="261"/>
    </row>
    <row r="3" spans="1:30" s="7" customFormat="1" ht="13.5" x14ac:dyDescent="0.25">
      <c r="A3" s="270" t="s">
        <v>32</v>
      </c>
      <c r="B3" s="257"/>
      <c r="C3" s="258"/>
      <c r="D3" s="257"/>
      <c r="E3" s="257"/>
      <c r="F3" s="257"/>
      <c r="G3" s="257"/>
      <c r="H3" s="257"/>
      <c r="I3" s="257"/>
      <c r="J3" s="257"/>
      <c r="K3" s="257"/>
      <c r="L3" s="261"/>
    </row>
    <row r="4" spans="1:30" s="7" customFormat="1" ht="13.5" x14ac:dyDescent="0.25">
      <c r="A4" s="270" t="s">
        <v>33</v>
      </c>
      <c r="B4" s="257"/>
      <c r="C4" s="258"/>
      <c r="D4" s="257"/>
      <c r="E4" s="257"/>
      <c r="F4" s="257"/>
      <c r="G4" s="257"/>
      <c r="H4" s="257"/>
      <c r="I4" s="257"/>
      <c r="J4" s="257"/>
      <c r="K4" s="257"/>
      <c r="L4" s="261"/>
    </row>
    <row r="5" spans="1:30" s="7" customFormat="1" x14ac:dyDescent="0.2">
      <c r="A5" s="258"/>
      <c r="B5" s="257"/>
      <c r="C5" s="258"/>
      <c r="D5" s="257"/>
      <c r="E5" s="257"/>
      <c r="F5" s="257"/>
      <c r="G5" s="257"/>
      <c r="H5" s="257"/>
      <c r="I5" s="257"/>
      <c r="J5" s="257"/>
      <c r="K5" s="257"/>
      <c r="L5" s="259"/>
    </row>
    <row r="6" spans="1:30" s="7" customFormat="1" x14ac:dyDescent="0.2">
      <c r="A6" s="258" t="s">
        <v>34</v>
      </c>
      <c r="B6" s="257"/>
      <c r="C6" s="263">
        <v>45363</v>
      </c>
      <c r="D6" s="257"/>
      <c r="E6" s="257"/>
      <c r="F6" s="257"/>
      <c r="G6" s="257"/>
      <c r="H6" s="257"/>
      <c r="I6" s="257"/>
      <c r="J6" s="257"/>
      <c r="K6" s="257"/>
      <c r="L6" s="259"/>
    </row>
    <row r="7" spans="1:30" s="7" customFormat="1" x14ac:dyDescent="0.2">
      <c r="A7" s="258" t="s">
        <v>35</v>
      </c>
      <c r="B7" s="257"/>
      <c r="C7" s="260" t="s">
        <v>36</v>
      </c>
      <c r="D7" s="257"/>
      <c r="E7" s="257"/>
      <c r="F7" s="257"/>
      <c r="G7" s="257"/>
      <c r="H7" s="257"/>
      <c r="I7" s="257"/>
      <c r="J7" s="257"/>
      <c r="K7" s="257"/>
      <c r="L7" s="259"/>
    </row>
    <row r="8" spans="1:30" s="7" customFormat="1" x14ac:dyDescent="0.2">
      <c r="A8" s="258" t="s">
        <v>37</v>
      </c>
      <c r="B8" s="257"/>
      <c r="C8" s="260" t="s">
        <v>38</v>
      </c>
      <c r="D8" s="257"/>
      <c r="E8" s="257"/>
      <c r="F8" s="257"/>
      <c r="G8" s="257"/>
      <c r="H8" s="257"/>
      <c r="I8" s="257"/>
      <c r="J8" s="257"/>
      <c r="K8" s="257"/>
      <c r="L8" s="259"/>
    </row>
    <row r="9" spans="1:30" x14ac:dyDescent="0.2">
      <c r="D9" s="199"/>
      <c r="E9" s="199"/>
      <c r="F9" s="199"/>
      <c r="R9" s="228" t="s">
        <v>39</v>
      </c>
    </row>
    <row r="10" spans="1:30" ht="38.25" x14ac:dyDescent="0.2">
      <c r="A10" s="214" t="s">
        <v>40</v>
      </c>
      <c r="B10" s="215"/>
      <c r="C10" s="216" t="s">
        <v>41</v>
      </c>
      <c r="D10" s="216" t="s">
        <v>42</v>
      </c>
      <c r="E10" s="216" t="s">
        <v>43</v>
      </c>
      <c r="F10" s="216" t="s">
        <v>44</v>
      </c>
      <c r="G10" s="217" t="s">
        <v>45</v>
      </c>
      <c r="H10" s="217" t="s">
        <v>46</v>
      </c>
      <c r="I10" s="217" t="s">
        <v>47</v>
      </c>
      <c r="J10" s="217" t="s">
        <v>48</v>
      </c>
      <c r="K10" s="217" t="s">
        <v>49</v>
      </c>
      <c r="L10" s="217" t="s">
        <v>50</v>
      </c>
      <c r="M10" s="216" t="s">
        <v>51</v>
      </c>
      <c r="N10" s="217" t="s">
        <v>52</v>
      </c>
      <c r="O10" s="216" t="s">
        <v>53</v>
      </c>
      <c r="P10" s="218"/>
      <c r="Q10" s="217"/>
      <c r="R10" s="217"/>
      <c r="S10" s="217"/>
      <c r="T10" s="217"/>
      <c r="U10" s="217"/>
      <c r="V10" s="217"/>
      <c r="W10" s="201"/>
      <c r="X10" s="202"/>
      <c r="AA10" s="203"/>
      <c r="AB10" s="204"/>
      <c r="AC10" s="201"/>
      <c r="AD10" s="202"/>
    </row>
    <row r="11" spans="1:30" x14ac:dyDescent="0.2">
      <c r="A11" s="306"/>
      <c r="B11" s="306"/>
    </row>
    <row r="12" spans="1:30" x14ac:dyDescent="0.2">
      <c r="A12" s="243" t="s">
        <v>54</v>
      </c>
      <c r="B12" s="197" t="s">
        <v>55</v>
      </c>
      <c r="C12" s="271">
        <v>5</v>
      </c>
      <c r="D12" s="271" t="s">
        <v>56</v>
      </c>
      <c r="E12" s="227"/>
      <c r="F12" s="271">
        <v>50</v>
      </c>
      <c r="G12" s="230">
        <f>C12/SUM(C12,F12)</f>
        <v>9.0909090909090912E-2</v>
      </c>
      <c r="H12" s="272">
        <v>0.2</v>
      </c>
      <c r="I12" s="250">
        <f>H12</f>
        <v>0.2</v>
      </c>
      <c r="J12" s="273">
        <v>80</v>
      </c>
      <c r="K12" s="273">
        <v>30</v>
      </c>
      <c r="L12" s="227"/>
      <c r="M12" s="220">
        <f>N12*C12</f>
        <v>1</v>
      </c>
      <c r="N12" s="274">
        <v>0.2</v>
      </c>
      <c r="O12" s="220">
        <f xml:space="preserve"> C12*H12*8760</f>
        <v>8760</v>
      </c>
      <c r="P12" s="232" t="str">
        <f>C8&amp;" - Estimated Annual Transmission Revenue"</f>
        <v>Testing Site 1 - Estimated Annual Transmission Revenue</v>
      </c>
      <c r="Q12" s="232"/>
      <c r="R12" s="222"/>
      <c r="S12" s="224"/>
      <c r="T12" s="222"/>
      <c r="U12" s="222"/>
      <c r="V12" s="224"/>
      <c r="W12" s="201"/>
      <c r="X12" s="202"/>
      <c r="AA12" s="203"/>
      <c r="AB12" s="204"/>
      <c r="AC12" s="201"/>
      <c r="AD12" s="202"/>
    </row>
    <row r="13" spans="1:30" x14ac:dyDescent="0.2">
      <c r="A13" s="243" t="s">
        <v>57</v>
      </c>
      <c r="B13" s="197" t="s">
        <v>58</v>
      </c>
      <c r="C13" s="271">
        <v>5</v>
      </c>
      <c r="D13" s="219" t="str">
        <f>D12</f>
        <v>Yes</v>
      </c>
      <c r="E13" s="271">
        <v>45</v>
      </c>
      <c r="F13" s="219">
        <f>F12</f>
        <v>50</v>
      </c>
      <c r="G13" s="230">
        <f>C13/SUM(C13,F13)</f>
        <v>9.0909090909090912E-2</v>
      </c>
      <c r="H13" s="272">
        <v>0.2</v>
      </c>
      <c r="I13" s="272">
        <v>0.8</v>
      </c>
      <c r="J13" s="229">
        <f>J12</f>
        <v>80</v>
      </c>
      <c r="K13" s="229">
        <f>K12</f>
        <v>30</v>
      </c>
      <c r="L13" s="272">
        <v>0.02</v>
      </c>
      <c r="M13" s="220">
        <f>N13*C13</f>
        <v>1</v>
      </c>
      <c r="N13" s="274">
        <v>0.2</v>
      </c>
      <c r="O13" s="220">
        <f>SUM(C13,E13)*H13*8760</f>
        <v>87600</v>
      </c>
      <c r="P13" s="236"/>
      <c r="Q13" s="232"/>
      <c r="R13" s="222"/>
      <c r="S13" s="225"/>
      <c r="T13" s="222"/>
      <c r="U13" s="222"/>
      <c r="V13" s="225"/>
      <c r="W13" s="201"/>
      <c r="X13" s="202"/>
      <c r="AA13" s="203"/>
      <c r="AB13" s="204"/>
      <c r="AC13" s="201"/>
      <c r="AD13" s="202"/>
    </row>
    <row r="14" spans="1:30" x14ac:dyDescent="0.2">
      <c r="P14" s="237"/>
      <c r="Q14" s="233"/>
    </row>
    <row r="15" spans="1:30" x14ac:dyDescent="0.2">
      <c r="E15" s="198"/>
      <c r="F15" s="198"/>
    </row>
    <row r="18" spans="1:28" ht="12.75" customHeight="1" x14ac:dyDescent="0.2"/>
    <row r="19" spans="1:28" s="200" customFormat="1" ht="12.75" customHeight="1" x14ac:dyDescent="0.2">
      <c r="A19" s="197"/>
      <c r="B19" s="197"/>
      <c r="C19" s="197"/>
      <c r="D19" s="197"/>
      <c r="U19" s="197"/>
      <c r="V19" s="197"/>
      <c r="W19" s="197"/>
      <c r="X19" s="197"/>
      <c r="Y19" s="197"/>
      <c r="Z19" s="197"/>
      <c r="AA19" s="197"/>
      <c r="AB19" s="197"/>
    </row>
    <row r="20" spans="1:28" x14ac:dyDescent="0.2">
      <c r="G20" s="199"/>
      <c r="H20" s="199"/>
      <c r="I20" s="199"/>
      <c r="J20" s="199"/>
      <c r="K20" s="199"/>
      <c r="L20" s="199"/>
      <c r="M20" s="199"/>
      <c r="N20" s="199"/>
      <c r="O20" s="199"/>
      <c r="P20" s="199"/>
      <c r="Q20" s="199"/>
      <c r="R20" s="199"/>
      <c r="S20" s="199"/>
      <c r="T20" s="199"/>
    </row>
    <row r="21" spans="1:28" x14ac:dyDescent="0.2">
      <c r="G21" s="199"/>
      <c r="H21" s="199"/>
      <c r="I21" s="199"/>
      <c r="J21" s="199"/>
      <c r="K21" s="199"/>
      <c r="L21" s="199"/>
      <c r="M21" s="199"/>
      <c r="N21" s="199"/>
      <c r="O21" s="199"/>
      <c r="P21" s="199"/>
      <c r="Q21" s="199"/>
      <c r="R21" s="199"/>
      <c r="S21" s="199"/>
      <c r="T21" s="199"/>
    </row>
    <row r="22" spans="1:28" x14ac:dyDescent="0.2">
      <c r="G22" s="199"/>
      <c r="H22" s="199"/>
      <c r="I22" s="199"/>
      <c r="J22" s="199"/>
      <c r="K22" s="199"/>
      <c r="L22" s="199"/>
      <c r="M22" s="199"/>
      <c r="N22" s="199"/>
      <c r="O22" s="199"/>
      <c r="P22" s="199"/>
      <c r="Q22" s="199"/>
      <c r="R22" s="199"/>
      <c r="S22" s="199"/>
      <c r="T22" s="199"/>
    </row>
    <row r="23" spans="1:28" x14ac:dyDescent="0.2">
      <c r="G23" s="198"/>
      <c r="H23" s="198"/>
      <c r="I23" s="198"/>
      <c r="J23" s="198"/>
      <c r="K23" s="198"/>
      <c r="L23" s="198"/>
      <c r="M23" s="198"/>
      <c r="N23" s="198"/>
      <c r="O23" s="198"/>
      <c r="P23" s="198"/>
      <c r="R23" s="198"/>
      <c r="S23" s="198"/>
      <c r="U23" s="201"/>
      <c r="V23" s="202"/>
      <c r="Y23" s="203"/>
      <c r="Z23" s="204"/>
      <c r="AA23" s="201"/>
      <c r="AB23" s="202"/>
    </row>
    <row r="24" spans="1:28" x14ac:dyDescent="0.2">
      <c r="C24" s="198"/>
      <c r="D24" s="198"/>
      <c r="E24" s="198"/>
      <c r="F24" s="198"/>
      <c r="G24" s="198"/>
      <c r="H24" s="198"/>
      <c r="I24" s="198"/>
      <c r="J24" s="198"/>
      <c r="K24" s="198"/>
      <c r="L24" s="198"/>
      <c r="M24" s="198"/>
      <c r="N24" s="198"/>
      <c r="O24" s="198"/>
      <c r="P24" s="198"/>
      <c r="R24" s="198"/>
      <c r="S24" s="198"/>
      <c r="U24" s="201"/>
      <c r="V24" s="202"/>
      <c r="Y24" s="203"/>
      <c r="Z24" s="204"/>
      <c r="AA24" s="201"/>
      <c r="AB24" s="202"/>
    </row>
    <row r="25" spans="1:28" x14ac:dyDescent="0.2">
      <c r="C25" s="198"/>
      <c r="D25" s="198"/>
      <c r="E25" s="198"/>
      <c r="F25" s="198"/>
      <c r="G25" s="198"/>
      <c r="H25" s="198"/>
      <c r="I25" s="198"/>
      <c r="J25" s="198"/>
      <c r="K25" s="198"/>
      <c r="L25" s="198"/>
      <c r="M25" s="198"/>
      <c r="N25" s="198"/>
      <c r="O25" s="198"/>
      <c r="P25" s="198"/>
      <c r="R25" s="198"/>
      <c r="S25" s="198"/>
      <c r="U25" s="201"/>
      <c r="V25" s="202"/>
      <c r="Y25" s="203"/>
      <c r="Z25" s="204"/>
      <c r="AA25" s="201"/>
      <c r="AB25" s="202"/>
    </row>
    <row r="26" spans="1:28" x14ac:dyDescent="0.2">
      <c r="C26" s="198"/>
      <c r="D26" s="198"/>
      <c r="E26" s="198"/>
      <c r="F26" s="198"/>
      <c r="G26" s="198"/>
      <c r="H26" s="198"/>
      <c r="I26" s="198"/>
      <c r="J26" s="198"/>
      <c r="K26" s="198"/>
      <c r="L26" s="198"/>
      <c r="M26" s="198"/>
      <c r="N26" s="198"/>
      <c r="O26" s="198"/>
      <c r="P26" s="198"/>
      <c r="R26" s="198"/>
      <c r="S26" s="198"/>
      <c r="U26" s="201"/>
      <c r="V26" s="202"/>
      <c r="Y26" s="203"/>
      <c r="Z26" s="204"/>
      <c r="AA26" s="201"/>
      <c r="AB26" s="202"/>
    </row>
    <row r="27" spans="1:28" x14ac:dyDescent="0.2">
      <c r="C27" s="198"/>
      <c r="D27" s="198"/>
      <c r="E27" s="198"/>
      <c r="F27" s="198"/>
      <c r="G27" s="198"/>
      <c r="H27" s="198"/>
      <c r="I27" s="198"/>
      <c r="J27" s="198"/>
      <c r="K27" s="198"/>
      <c r="L27" s="198"/>
      <c r="M27" s="198"/>
      <c r="N27" s="198"/>
      <c r="O27" s="198"/>
      <c r="P27" s="198"/>
      <c r="R27" s="198"/>
      <c r="S27" s="198"/>
      <c r="U27" s="201"/>
      <c r="V27" s="202"/>
      <c r="Y27" s="203"/>
      <c r="Z27" s="204"/>
      <c r="AA27" s="201"/>
      <c r="AB27" s="202"/>
    </row>
    <row r="28" spans="1:28" x14ac:dyDescent="0.2">
      <c r="C28" s="198"/>
      <c r="D28" s="198"/>
      <c r="E28" s="198"/>
      <c r="F28" s="198"/>
      <c r="G28" s="198"/>
      <c r="H28" s="198"/>
      <c r="I28" s="198"/>
      <c r="J28" s="198"/>
      <c r="K28" s="198"/>
      <c r="L28" s="198"/>
      <c r="M28" s="198"/>
      <c r="N28" s="198"/>
      <c r="O28" s="198"/>
      <c r="P28" s="198"/>
      <c r="R28" s="198"/>
      <c r="S28" s="198"/>
      <c r="U28" s="201"/>
      <c r="V28" s="202"/>
      <c r="Y28" s="203"/>
      <c r="Z28" s="204"/>
      <c r="AA28" s="201"/>
      <c r="AB28" s="202"/>
    </row>
    <row r="29" spans="1:28" x14ac:dyDescent="0.2">
      <c r="C29" s="198"/>
      <c r="D29" s="198"/>
      <c r="E29" s="198"/>
      <c r="F29" s="198"/>
      <c r="G29" s="198"/>
      <c r="H29" s="198"/>
      <c r="I29" s="198"/>
      <c r="J29" s="198"/>
      <c r="K29" s="198"/>
      <c r="L29" s="198"/>
      <c r="M29" s="198"/>
      <c r="N29" s="198"/>
      <c r="O29" s="198"/>
      <c r="P29" s="198"/>
      <c r="R29" s="198"/>
      <c r="S29" s="198"/>
      <c r="U29" s="201"/>
      <c r="V29" s="202"/>
      <c r="Y29" s="203"/>
      <c r="Z29" s="204"/>
      <c r="AA29" s="201"/>
      <c r="AB29" s="202"/>
    </row>
    <row r="33" spans="1:28" s="213" customFormat="1" ht="25.35" customHeight="1" x14ac:dyDescent="0.3">
      <c r="A33" s="251" t="s">
        <v>59</v>
      </c>
      <c r="B33" s="205"/>
      <c r="C33" s="206"/>
      <c r="D33" s="207"/>
      <c r="E33" s="208"/>
      <c r="F33" s="209"/>
      <c r="G33" s="209"/>
      <c r="H33" s="210"/>
      <c r="I33" s="210"/>
      <c r="J33" s="211"/>
      <c r="K33" s="211"/>
      <c r="L33" s="205"/>
      <c r="M33" s="205"/>
      <c r="N33" s="205"/>
      <c r="O33" s="305" t="s">
        <v>60</v>
      </c>
      <c r="P33" s="305"/>
      <c r="Q33" s="305"/>
      <c r="R33" s="212"/>
      <c r="S33" s="212"/>
      <c r="Y33" s="202"/>
    </row>
    <row r="34" spans="1:28" ht="51" x14ac:dyDescent="0.2">
      <c r="A34" s="214" t="s">
        <v>40</v>
      </c>
      <c r="B34" s="215"/>
      <c r="C34" s="216" t="s">
        <v>41</v>
      </c>
      <c r="D34" s="216" t="s">
        <v>43</v>
      </c>
      <c r="E34" s="216" t="s">
        <v>51</v>
      </c>
      <c r="F34" s="217" t="s">
        <v>52</v>
      </c>
      <c r="G34" s="216" t="s">
        <v>53</v>
      </c>
      <c r="H34" s="217" t="s">
        <v>46</v>
      </c>
      <c r="I34" s="217" t="s">
        <v>61</v>
      </c>
      <c r="J34" s="217" t="s">
        <v>62</v>
      </c>
      <c r="K34" s="217" t="s">
        <v>63</v>
      </c>
      <c r="L34" s="217" t="s">
        <v>64</v>
      </c>
      <c r="M34" s="217" t="s">
        <v>65</v>
      </c>
      <c r="N34" s="217" t="s">
        <v>66</v>
      </c>
      <c r="O34" s="217" t="s">
        <v>67</v>
      </c>
      <c r="P34" s="217" t="s">
        <v>68</v>
      </c>
      <c r="Q34" s="217" t="s">
        <v>69</v>
      </c>
      <c r="R34" s="201"/>
      <c r="S34" s="202"/>
      <c r="V34" s="203"/>
      <c r="W34" s="204"/>
      <c r="X34" s="201"/>
      <c r="Y34" s="202"/>
    </row>
    <row r="35" spans="1:28" ht="13.5" thickBot="1" x14ac:dyDescent="0.25">
      <c r="A35" s="197" t="s">
        <v>70</v>
      </c>
      <c r="C35" s="219">
        <f>'No Rate DTS Reduction Calcs'!H16</f>
        <v>5</v>
      </c>
      <c r="D35" s="219" t="s">
        <v>71</v>
      </c>
      <c r="E35" s="220">
        <f>'No Rate DTS Reduction Calcs'!H15/12</f>
        <v>1</v>
      </c>
      <c r="F35" s="221">
        <f>E35/C35</f>
        <v>0.2</v>
      </c>
      <c r="G35" s="220">
        <f>'No Rate DTS Reduction Calcs'!H17</f>
        <v>8760</v>
      </c>
      <c r="H35" s="221">
        <f>G35/(SUM(C35:D35)*8760)</f>
        <v>0.2</v>
      </c>
      <c r="I35" s="222">
        <f>'No Rate DTS Reduction Calcs'!J$67</f>
        <v>371052.75272727275</v>
      </c>
      <c r="J35" s="223" t="s">
        <v>71</v>
      </c>
      <c r="K35" s="223" t="s">
        <v>71</v>
      </c>
      <c r="L35" s="222">
        <f>SUM(I35:I35,J35)</f>
        <v>371052.75272727275</v>
      </c>
      <c r="M35" s="252">
        <f>L35/G35</f>
        <v>42.357620174346202</v>
      </c>
      <c r="N35" s="224" t="s">
        <v>72</v>
      </c>
      <c r="O35" s="222">
        <f>'No Rate DTS Reduction Calcs'!J95</f>
        <v>262800</v>
      </c>
      <c r="P35" s="222">
        <f>L35+O35</f>
        <v>633852.75272727269</v>
      </c>
      <c r="Q35" s="224" t="s">
        <v>72</v>
      </c>
      <c r="R35" s="232" t="str">
        <f>C8&amp;" - Annual Energy Consumption and Average Transmission Charge $/MWh"</f>
        <v>Testing Site 1 - Annual Energy Consumption and Average Transmission Charge $/MWh</v>
      </c>
      <c r="S35" s="202"/>
      <c r="V35" s="203"/>
      <c r="W35" s="204"/>
      <c r="X35" s="201"/>
      <c r="Y35" s="202"/>
    </row>
    <row r="36" spans="1:28" ht="13.5" thickTop="1" x14ac:dyDescent="0.2">
      <c r="A36" s="197" t="s">
        <v>73</v>
      </c>
      <c r="C36" s="219">
        <f>'No Rate DTS Reduction Calcs'!M16</f>
        <v>5</v>
      </c>
      <c r="D36" s="219">
        <f>'No Rate DTS Reduction Calcs'!M25</f>
        <v>45</v>
      </c>
      <c r="E36" s="220">
        <f>'No Rate DTS Reduction Calcs'!N15/12</f>
        <v>1</v>
      </c>
      <c r="F36" s="221">
        <f>E36/C36</f>
        <v>0.2</v>
      </c>
      <c r="G36" s="220">
        <f>SUM('No Rate DTS Reduction Calcs'!N17,'No Rate DTS Reduction Calcs'!N26)</f>
        <v>87600</v>
      </c>
      <c r="H36" s="221">
        <f>G36/(SUM(C36:D36)*8760)</f>
        <v>0.2</v>
      </c>
      <c r="I36" s="222">
        <f>'No Rate DTS Reduction Calcs'!P$67</f>
        <v>371052.75272727275</v>
      </c>
      <c r="J36" s="222">
        <f>'No Rate DTS Reduction Calcs'!P$90</f>
        <v>784300.32</v>
      </c>
      <c r="K36" s="223" t="s">
        <v>71</v>
      </c>
      <c r="L36" s="222">
        <f>SUM(I36,J36)</f>
        <v>1155353.0727272728</v>
      </c>
      <c r="M36" s="293">
        <f>L36/G36</f>
        <v>13.188962017434621</v>
      </c>
      <c r="N36" s="225">
        <f>L36/L$35-1</f>
        <v>2.1137164843416971</v>
      </c>
      <c r="O36" s="222">
        <f>'No Rate DTS Reduction Calcs'!P95</f>
        <v>2628000</v>
      </c>
      <c r="P36" s="222">
        <f>L36+O36</f>
        <v>3783353.0727272728</v>
      </c>
      <c r="Q36" s="225">
        <f>P36/P$35-1</f>
        <v>4.9688201344060943</v>
      </c>
      <c r="R36" s="201"/>
      <c r="S36" s="202"/>
      <c r="V36" s="203"/>
      <c r="W36" s="204"/>
      <c r="X36" s="201"/>
      <c r="Y36" s="202"/>
    </row>
    <row r="37" spans="1:28" ht="13.5" thickBot="1" x14ac:dyDescent="0.25">
      <c r="A37" s="275" t="s">
        <v>74</v>
      </c>
      <c r="B37" s="275"/>
      <c r="C37" s="276">
        <f>SUM(C36:D36)</f>
        <v>50</v>
      </c>
      <c r="D37" s="276" t="s">
        <v>71</v>
      </c>
      <c r="E37" s="277">
        <f>C37*F37</f>
        <v>0</v>
      </c>
      <c r="F37" s="287">
        <v>0</v>
      </c>
      <c r="G37" s="277">
        <f>G36</f>
        <v>87600</v>
      </c>
      <c r="H37" s="278">
        <f>G37/(SUM(C37:D37)*8760)</f>
        <v>0.2</v>
      </c>
      <c r="I37" s="279">
        <f>SUM(I36:J36)</f>
        <v>1155353.0727272728</v>
      </c>
      <c r="J37" s="280" t="s">
        <v>71</v>
      </c>
      <c r="K37" s="280">
        <f>'No Rate DTS Reduction Calcs'!V$67-I37</f>
        <v>1121567.7272727271</v>
      </c>
      <c r="L37" s="279">
        <f>SUM(I37,J37,K37)</f>
        <v>2276920.7999999998</v>
      </c>
      <c r="M37" s="294">
        <f>L37/G37</f>
        <v>25.992246575342463</v>
      </c>
      <c r="N37" s="281">
        <f>L37/L$36-1</f>
        <v>0.97075755779590955</v>
      </c>
      <c r="O37" s="279">
        <f>'No Rate DTS Reduction Calcs'!V95</f>
        <v>2628000</v>
      </c>
      <c r="P37" s="279">
        <f>L37+O37</f>
        <v>4904920.8</v>
      </c>
      <c r="Q37" s="281">
        <f>P37/P$36-1</f>
        <v>0.29644807283720742</v>
      </c>
      <c r="R37" s="201"/>
      <c r="S37" s="202"/>
      <c r="V37" s="203"/>
      <c r="W37" s="204"/>
      <c r="X37" s="201"/>
      <c r="Y37" s="202"/>
    </row>
    <row r="38" spans="1:28" ht="13.5" thickTop="1" x14ac:dyDescent="0.2">
      <c r="C38" s="226"/>
      <c r="D38" s="226"/>
      <c r="E38" s="226"/>
      <c r="F38" s="226"/>
      <c r="G38" s="226"/>
      <c r="H38" s="226"/>
      <c r="I38" s="226"/>
      <c r="J38" s="226"/>
      <c r="K38" s="198"/>
      <c r="L38" s="198"/>
      <c r="M38" s="226"/>
      <c r="N38" s="198"/>
      <c r="O38" s="198"/>
      <c r="P38" s="198"/>
      <c r="R38" s="198"/>
      <c r="S38" s="198"/>
      <c r="U38" s="201"/>
      <c r="V38" s="202"/>
      <c r="Y38" s="203"/>
      <c r="Z38" s="204"/>
      <c r="AA38" s="201"/>
      <c r="AB38" s="202"/>
    </row>
    <row r="40" spans="1:28" x14ac:dyDescent="0.2">
      <c r="A40" s="286"/>
    </row>
  </sheetData>
  <mergeCells count="2">
    <mergeCell ref="O33:Q33"/>
    <mergeCell ref="A11:B11"/>
  </mergeCells>
  <dataValidations count="1">
    <dataValidation allowBlank="1" showInputMessage="1" sqref="Z20:Z21 AA20 G20:J23 K20:K29 X23:X29 C24:J29 E15:F15 Z10 X38 K23:L29 L20:L22 M20:T29 C10:V10 C38:T38 U33:U37 D9:F9 J33:O33 C33:I37 J34:Q37 C10:E14" xr:uid="{DFCCCED1-8743-4F9C-A0F2-6734B06316D1}"/>
  </dataValidations>
  <printOptions horizontalCentered="1"/>
  <pageMargins left="0.25" right="0.25" top="0.5" bottom="0.5" header="0.3" footer="0.3"/>
  <pageSetup scale="31" orientation="portrait" r:id="rId1"/>
  <headerFooter alignWithMargins="0">
    <oddFooter>&amp;L&amp;8Attachment to Bill Estimator for 2021 Tariff (AESO ID #2021-015T)
Filename: &amp;F — Page&amp;P of &amp;N&amp;R&amp;8Confidentiality: Proprietary When Completed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8C442-56BE-4BC5-8F3A-D6B441AA3F2C}">
  <sheetPr>
    <tabColor theme="2" tint="-0.249977111117893"/>
    <pageSetUpPr fitToPage="1"/>
  </sheetPr>
  <dimension ref="A1:AD42"/>
  <sheetViews>
    <sheetView showGridLines="0" topLeftCell="A13" zoomScaleNormal="100" workbookViewId="0"/>
  </sheetViews>
  <sheetFormatPr defaultColWidth="9.5703125" defaultRowHeight="12.75" x14ac:dyDescent="0.2"/>
  <cols>
    <col min="1" max="1" width="9.5703125" style="197" customWidth="1"/>
    <col min="2" max="2" width="30" style="197" customWidth="1"/>
    <col min="3" max="3" width="18.28515625" style="197" customWidth="1"/>
    <col min="4" max="20" width="13.7109375" style="197" customWidth="1"/>
    <col min="21" max="21" width="10.42578125" style="197" customWidth="1"/>
    <col min="22" max="22" width="15.7109375" style="197" customWidth="1"/>
    <col min="23" max="23" width="9.5703125" style="197"/>
    <col min="24" max="24" width="10.5703125" style="197" customWidth="1"/>
    <col min="25" max="25" width="15.28515625" style="197" customWidth="1"/>
    <col min="26" max="27" width="10.42578125" style="197" customWidth="1"/>
    <col min="28" max="28" width="15.140625" style="197" customWidth="1"/>
    <col min="29" max="16384" width="9.5703125" style="197"/>
  </cols>
  <sheetData>
    <row r="1" spans="1:30" s="7" customFormat="1" ht="15.75" x14ac:dyDescent="0.25">
      <c r="A1" s="199" t="s">
        <v>29</v>
      </c>
      <c r="B1" s="257"/>
      <c r="C1" s="199"/>
      <c r="D1" s="257"/>
      <c r="E1" s="257"/>
      <c r="F1" s="257"/>
      <c r="G1" s="257"/>
      <c r="I1" s="267"/>
      <c r="J1" s="267"/>
      <c r="K1" s="268"/>
      <c r="L1" s="268"/>
      <c r="M1" s="268"/>
      <c r="N1" s="268"/>
      <c r="O1" s="269" t="s">
        <v>75</v>
      </c>
    </row>
    <row r="2" spans="1:30" s="7" customFormat="1" x14ac:dyDescent="0.2">
      <c r="A2" s="258" t="s">
        <v>31</v>
      </c>
      <c r="B2" s="257"/>
      <c r="C2" s="258"/>
      <c r="D2" s="257"/>
      <c r="E2" s="257"/>
      <c r="F2" s="257"/>
      <c r="G2" s="257"/>
      <c r="H2" s="257"/>
      <c r="I2" s="257"/>
      <c r="J2" s="257"/>
      <c r="K2" s="257"/>
      <c r="L2" s="261"/>
    </row>
    <row r="3" spans="1:30" s="7" customFormat="1" ht="13.5" x14ac:dyDescent="0.25">
      <c r="A3" s="270" t="s">
        <v>76</v>
      </c>
      <c r="B3" s="257"/>
      <c r="C3" s="258"/>
      <c r="D3" s="257"/>
      <c r="E3" s="257"/>
      <c r="F3" s="257"/>
      <c r="G3" s="257"/>
      <c r="H3" s="257"/>
      <c r="I3" s="257"/>
      <c r="J3" s="257"/>
      <c r="K3" s="257"/>
      <c r="L3" s="261"/>
    </row>
    <row r="4" spans="1:30" s="7" customFormat="1" ht="13.5" x14ac:dyDescent="0.25">
      <c r="A4" s="292" t="s">
        <v>77</v>
      </c>
      <c r="B4" s="257"/>
      <c r="C4" s="258"/>
      <c r="D4" s="257"/>
      <c r="E4" s="257"/>
      <c r="F4" s="257"/>
      <c r="G4" s="257"/>
      <c r="H4" s="257"/>
      <c r="I4" s="257"/>
      <c r="J4" s="257"/>
      <c r="K4" s="257"/>
      <c r="L4" s="261"/>
    </row>
    <row r="5" spans="1:30" s="7" customFormat="1" x14ac:dyDescent="0.2">
      <c r="A5" s="258"/>
      <c r="B5" s="257"/>
      <c r="C5" s="258"/>
      <c r="D5" s="257"/>
      <c r="E5" s="257"/>
      <c r="F5" s="257"/>
      <c r="G5" s="257"/>
      <c r="H5" s="257"/>
      <c r="I5" s="257"/>
      <c r="J5" s="257"/>
      <c r="K5" s="257"/>
      <c r="L5" s="259"/>
    </row>
    <row r="6" spans="1:30" s="7" customFormat="1" x14ac:dyDescent="0.2">
      <c r="A6" s="258" t="s">
        <v>34</v>
      </c>
      <c r="B6" s="257"/>
      <c r="C6" s="263">
        <v>45363</v>
      </c>
      <c r="D6" s="257"/>
      <c r="E6" s="257"/>
      <c r="F6" s="257"/>
      <c r="G6" s="257"/>
      <c r="H6" s="257"/>
      <c r="I6" s="257"/>
      <c r="J6" s="257"/>
      <c r="K6" s="257"/>
      <c r="L6" s="259"/>
    </row>
    <row r="7" spans="1:30" s="7" customFormat="1" x14ac:dyDescent="0.2">
      <c r="A7" s="258" t="s">
        <v>35</v>
      </c>
      <c r="B7" s="257"/>
      <c r="C7" s="260" t="s">
        <v>78</v>
      </c>
      <c r="D7" s="257"/>
      <c r="E7" s="257"/>
      <c r="F7" s="257"/>
      <c r="G7" s="257"/>
      <c r="H7" s="257"/>
      <c r="I7" s="257"/>
      <c r="J7" s="257"/>
      <c r="K7" s="257"/>
      <c r="L7" s="259"/>
    </row>
    <row r="8" spans="1:30" s="7" customFormat="1" x14ac:dyDescent="0.2">
      <c r="A8" s="258" t="s">
        <v>37</v>
      </c>
      <c r="B8" s="257"/>
      <c r="C8" s="260" t="s">
        <v>79</v>
      </c>
      <c r="D8" s="257"/>
      <c r="E8" s="257"/>
      <c r="F8" s="257"/>
      <c r="G8" s="257"/>
      <c r="H8" s="257"/>
      <c r="I8" s="257"/>
      <c r="J8" s="257"/>
      <c r="K8" s="257"/>
      <c r="L8" s="259"/>
    </row>
    <row r="9" spans="1:30" x14ac:dyDescent="0.2">
      <c r="D9" s="199"/>
      <c r="E9" s="199"/>
      <c r="F9" s="199"/>
      <c r="R9" s="228" t="s">
        <v>39</v>
      </c>
    </row>
    <row r="10" spans="1:30" ht="38.25" x14ac:dyDescent="0.2">
      <c r="A10" s="214" t="s">
        <v>40</v>
      </c>
      <c r="B10" s="215"/>
      <c r="C10" s="216" t="s">
        <v>41</v>
      </c>
      <c r="D10" s="216" t="s">
        <v>42</v>
      </c>
      <c r="E10" s="216" t="s">
        <v>43</v>
      </c>
      <c r="F10" s="216" t="s">
        <v>44</v>
      </c>
      <c r="G10" s="217" t="s">
        <v>45</v>
      </c>
      <c r="H10" s="217" t="s">
        <v>46</v>
      </c>
      <c r="I10" s="217" t="s">
        <v>47</v>
      </c>
      <c r="J10" s="217" t="s">
        <v>48</v>
      </c>
      <c r="K10" s="217" t="s">
        <v>49</v>
      </c>
      <c r="L10" s="217" t="s">
        <v>50</v>
      </c>
      <c r="M10" s="216" t="s">
        <v>51</v>
      </c>
      <c r="N10" s="217" t="s">
        <v>52</v>
      </c>
      <c r="O10" s="216" t="s">
        <v>53</v>
      </c>
      <c r="P10" s="218"/>
      <c r="Q10" s="217"/>
      <c r="R10" s="217"/>
      <c r="S10" s="217"/>
      <c r="T10" s="217"/>
      <c r="U10" s="217"/>
      <c r="V10" s="217"/>
      <c r="W10" s="201"/>
      <c r="X10" s="202"/>
      <c r="AA10" s="203"/>
      <c r="AB10" s="204"/>
      <c r="AC10" s="201"/>
      <c r="AD10" s="202"/>
    </row>
    <row r="11" spans="1:30" x14ac:dyDescent="0.2">
      <c r="A11" s="306"/>
      <c r="B11" s="306"/>
    </row>
    <row r="12" spans="1:30" x14ac:dyDescent="0.2">
      <c r="A12" s="243" t="s">
        <v>54</v>
      </c>
      <c r="B12" s="197" t="s">
        <v>80</v>
      </c>
      <c r="C12" s="271">
        <v>120</v>
      </c>
      <c r="D12" s="271" t="s">
        <v>81</v>
      </c>
      <c r="E12" s="227"/>
      <c r="F12" s="271">
        <v>0</v>
      </c>
      <c r="G12" s="230">
        <f>C12/SUM(C12,F12)</f>
        <v>1</v>
      </c>
      <c r="H12" s="272">
        <v>0.72</v>
      </c>
      <c r="I12" s="250">
        <f>H12</f>
        <v>0.72</v>
      </c>
      <c r="J12" s="273">
        <v>80</v>
      </c>
      <c r="K12" s="273">
        <v>30</v>
      </c>
      <c r="L12" s="227"/>
      <c r="M12" s="220">
        <f>N12*C12</f>
        <v>2.4</v>
      </c>
      <c r="N12" s="274">
        <v>0.02</v>
      </c>
      <c r="O12" s="220">
        <f xml:space="preserve"> C12*H12*8760</f>
        <v>756863.99999999988</v>
      </c>
      <c r="P12" s="232" t="str">
        <f>C8&amp;" - Estimated Annual Transmission Revenue"</f>
        <v>Testing Site 2 - Estimated Annual Transmission Revenue</v>
      </c>
      <c r="Q12" s="232"/>
      <c r="R12" s="222"/>
      <c r="S12" s="224"/>
      <c r="T12" s="222"/>
      <c r="U12" s="222"/>
      <c r="V12" s="224"/>
      <c r="W12" s="201"/>
      <c r="X12" s="202"/>
      <c r="AA12" s="203"/>
      <c r="AB12" s="204"/>
      <c r="AC12" s="201"/>
      <c r="AD12" s="202"/>
    </row>
    <row r="13" spans="1:30" x14ac:dyDescent="0.2">
      <c r="A13" s="243" t="s">
        <v>57</v>
      </c>
      <c r="B13" s="197" t="s">
        <v>58</v>
      </c>
      <c r="C13" s="271">
        <v>10</v>
      </c>
      <c r="D13" s="219" t="str">
        <f>D12</f>
        <v>No</v>
      </c>
      <c r="E13" s="271">
        <v>110</v>
      </c>
      <c r="F13" s="219">
        <f>F12</f>
        <v>0</v>
      </c>
      <c r="G13" s="230">
        <f>C13/SUM(C13,F13)</f>
        <v>1</v>
      </c>
      <c r="H13" s="272">
        <v>0.9</v>
      </c>
      <c r="I13" s="272">
        <v>0.7</v>
      </c>
      <c r="J13" s="229">
        <f>J12</f>
        <v>80</v>
      </c>
      <c r="K13" s="229">
        <f>K12</f>
        <v>30</v>
      </c>
      <c r="L13" s="272">
        <v>0.02</v>
      </c>
      <c r="M13" s="220">
        <f>N13*C13</f>
        <v>5</v>
      </c>
      <c r="N13" s="274">
        <v>0.5</v>
      </c>
      <c r="O13" s="220">
        <f>SUM(C13,E13)*H13*8760</f>
        <v>946080</v>
      </c>
      <c r="P13" s="236"/>
      <c r="Q13" s="232"/>
      <c r="R13" s="222"/>
      <c r="S13" s="225"/>
      <c r="T13" s="222"/>
      <c r="U13" s="222"/>
      <c r="V13" s="225"/>
      <c r="W13" s="201"/>
      <c r="X13" s="202"/>
      <c r="AA13" s="203"/>
      <c r="AB13" s="204"/>
      <c r="AC13" s="201"/>
      <c r="AD13" s="202"/>
    </row>
    <row r="14" spans="1:30" x14ac:dyDescent="0.2">
      <c r="P14" s="237"/>
      <c r="Q14" s="233"/>
    </row>
    <row r="16" spans="1:30" x14ac:dyDescent="0.2">
      <c r="E16" s="198"/>
      <c r="F16" s="198"/>
    </row>
    <row r="19" spans="1:28" ht="12.75" customHeight="1" x14ac:dyDescent="0.2"/>
    <row r="20" spans="1:28" s="200" customFormat="1" ht="12.75" customHeight="1" x14ac:dyDescent="0.2">
      <c r="A20" s="197"/>
      <c r="B20" s="197"/>
      <c r="C20" s="197"/>
      <c r="D20" s="197"/>
      <c r="U20" s="197"/>
      <c r="V20" s="197"/>
      <c r="W20" s="197"/>
      <c r="X20" s="197"/>
      <c r="Y20" s="197"/>
      <c r="Z20" s="197"/>
      <c r="AA20" s="197"/>
      <c r="AB20" s="197"/>
    </row>
    <row r="21" spans="1:28" x14ac:dyDescent="0.2">
      <c r="G21" s="199"/>
      <c r="H21" s="199"/>
      <c r="I21" s="199"/>
      <c r="J21" s="199"/>
      <c r="K21" s="199"/>
      <c r="L21" s="199"/>
      <c r="M21" s="199"/>
      <c r="N21" s="199"/>
      <c r="O21" s="199"/>
      <c r="P21" s="199"/>
      <c r="Q21" s="199"/>
      <c r="R21" s="199"/>
      <c r="S21" s="199"/>
      <c r="T21" s="199"/>
    </row>
    <row r="22" spans="1:28" x14ac:dyDescent="0.2">
      <c r="G22" s="199"/>
      <c r="H22" s="199"/>
      <c r="I22" s="199"/>
      <c r="J22" s="199"/>
      <c r="K22" s="199"/>
      <c r="L22" s="199"/>
      <c r="M22" s="199"/>
      <c r="N22" s="199"/>
      <c r="O22" s="199"/>
      <c r="P22" s="199"/>
      <c r="Q22" s="199"/>
      <c r="R22" s="199"/>
      <c r="S22" s="199"/>
      <c r="T22" s="199"/>
    </row>
    <row r="23" spans="1:28" x14ac:dyDescent="0.2">
      <c r="G23" s="199"/>
      <c r="H23" s="199"/>
      <c r="I23" s="199"/>
      <c r="J23" s="199"/>
      <c r="K23" s="199"/>
      <c r="L23" s="199"/>
      <c r="M23" s="199"/>
      <c r="N23" s="199"/>
      <c r="O23" s="199"/>
      <c r="P23" s="199"/>
      <c r="Q23" s="199"/>
      <c r="R23" s="199"/>
      <c r="S23" s="199"/>
      <c r="T23" s="199"/>
    </row>
    <row r="24" spans="1:28" x14ac:dyDescent="0.2">
      <c r="G24" s="198"/>
      <c r="H24" s="198"/>
      <c r="I24" s="198"/>
      <c r="J24" s="198"/>
      <c r="K24" s="198"/>
      <c r="L24" s="198"/>
      <c r="M24" s="198"/>
      <c r="N24" s="198"/>
      <c r="O24" s="198"/>
      <c r="P24" s="198"/>
      <c r="R24" s="198"/>
      <c r="S24" s="198"/>
      <c r="U24" s="201"/>
      <c r="V24" s="202"/>
      <c r="Y24" s="203"/>
      <c r="Z24" s="204"/>
      <c r="AA24" s="201"/>
      <c r="AB24" s="202"/>
    </row>
    <row r="25" spans="1:28" x14ac:dyDescent="0.2">
      <c r="C25" s="198"/>
      <c r="D25" s="198"/>
      <c r="E25" s="198"/>
      <c r="F25" s="198"/>
      <c r="G25" s="198"/>
      <c r="H25" s="198"/>
      <c r="I25" s="198"/>
      <c r="J25" s="198"/>
      <c r="K25" s="198"/>
      <c r="L25" s="198"/>
      <c r="M25" s="198"/>
      <c r="N25" s="198"/>
      <c r="O25" s="198"/>
      <c r="P25" s="198"/>
      <c r="R25" s="198"/>
      <c r="S25" s="198"/>
      <c r="U25" s="201"/>
      <c r="V25" s="202"/>
      <c r="Y25" s="203"/>
      <c r="Z25" s="204"/>
      <c r="AA25" s="201"/>
      <c r="AB25" s="202"/>
    </row>
    <row r="26" spans="1:28" x14ac:dyDescent="0.2">
      <c r="C26" s="198"/>
      <c r="D26" s="198"/>
      <c r="E26" s="198"/>
      <c r="F26" s="198"/>
      <c r="G26" s="198"/>
      <c r="H26" s="198"/>
      <c r="I26" s="198"/>
      <c r="J26" s="198"/>
      <c r="K26" s="198"/>
      <c r="L26" s="198"/>
      <c r="M26" s="198"/>
      <c r="N26" s="198"/>
      <c r="O26" s="198"/>
      <c r="P26" s="198"/>
      <c r="R26" s="198"/>
      <c r="S26" s="198"/>
      <c r="U26" s="201"/>
      <c r="V26" s="202"/>
      <c r="Y26" s="203"/>
      <c r="Z26" s="204"/>
      <c r="AA26" s="201"/>
      <c r="AB26" s="202"/>
    </row>
    <row r="27" spans="1:28" x14ac:dyDescent="0.2">
      <c r="C27" s="198"/>
      <c r="D27" s="198"/>
      <c r="E27" s="198"/>
      <c r="F27" s="198"/>
      <c r="G27" s="198"/>
      <c r="H27" s="198"/>
      <c r="I27" s="198"/>
      <c r="J27" s="198"/>
      <c r="K27" s="198"/>
      <c r="L27" s="198"/>
      <c r="M27" s="198"/>
      <c r="N27" s="198"/>
      <c r="O27" s="198"/>
      <c r="P27" s="198"/>
      <c r="R27" s="198"/>
      <c r="S27" s="198"/>
      <c r="U27" s="201"/>
      <c r="V27" s="202"/>
      <c r="Y27" s="203"/>
      <c r="Z27" s="204"/>
      <c r="AA27" s="201"/>
      <c r="AB27" s="202"/>
    </row>
    <row r="28" spans="1:28" x14ac:dyDescent="0.2">
      <c r="C28" s="198"/>
      <c r="D28" s="198"/>
      <c r="E28" s="198"/>
      <c r="F28" s="198"/>
      <c r="G28" s="198"/>
      <c r="H28" s="198"/>
      <c r="I28" s="198"/>
      <c r="J28" s="198"/>
      <c r="K28" s="198"/>
      <c r="L28" s="198"/>
      <c r="M28" s="198"/>
      <c r="N28" s="198"/>
      <c r="O28" s="198"/>
      <c r="P28" s="198"/>
      <c r="R28" s="198"/>
      <c r="S28" s="198"/>
      <c r="U28" s="201"/>
      <c r="V28" s="202"/>
      <c r="Y28" s="203"/>
      <c r="Z28" s="204"/>
      <c r="AA28" s="201"/>
      <c r="AB28" s="202"/>
    </row>
    <row r="29" spans="1:28" x14ac:dyDescent="0.2">
      <c r="C29" s="198"/>
      <c r="D29" s="198"/>
      <c r="E29" s="198"/>
      <c r="F29" s="198"/>
      <c r="G29" s="198"/>
      <c r="H29" s="198"/>
      <c r="I29" s="198"/>
      <c r="J29" s="198"/>
      <c r="K29" s="198"/>
      <c r="L29" s="198"/>
      <c r="M29" s="198"/>
      <c r="N29" s="198"/>
      <c r="O29" s="198"/>
      <c r="P29" s="198"/>
      <c r="R29" s="198"/>
      <c r="S29" s="198"/>
      <c r="U29" s="201"/>
      <c r="V29" s="202"/>
      <c r="Y29" s="203"/>
      <c r="Z29" s="204"/>
      <c r="AA29" s="201"/>
      <c r="AB29" s="202"/>
    </row>
    <row r="30" spans="1:28" x14ac:dyDescent="0.2">
      <c r="C30" s="198"/>
      <c r="D30" s="198"/>
      <c r="E30" s="198"/>
      <c r="F30" s="198"/>
      <c r="G30" s="198"/>
      <c r="H30" s="198"/>
      <c r="I30" s="198"/>
      <c r="J30" s="198"/>
      <c r="K30" s="198"/>
      <c r="L30" s="198"/>
      <c r="M30" s="198"/>
      <c r="N30" s="198"/>
      <c r="O30" s="198"/>
      <c r="P30" s="198"/>
      <c r="R30" s="198"/>
      <c r="S30" s="198"/>
      <c r="U30" s="201"/>
      <c r="V30" s="202"/>
      <c r="Y30" s="203"/>
      <c r="Z30" s="204"/>
      <c r="AA30" s="201"/>
      <c r="AB30" s="202"/>
    </row>
    <row r="34" spans="1:25" s="213" customFormat="1" ht="25.35" customHeight="1" x14ac:dyDescent="0.3">
      <c r="A34" s="251" t="s">
        <v>59</v>
      </c>
      <c r="B34" s="205"/>
      <c r="C34" s="206"/>
      <c r="D34" s="207"/>
      <c r="E34" s="208"/>
      <c r="F34" s="209"/>
      <c r="G34" s="209"/>
      <c r="H34" s="210"/>
      <c r="I34" s="210"/>
      <c r="J34" s="211"/>
      <c r="K34" s="211"/>
      <c r="L34" s="205"/>
      <c r="M34" s="205"/>
      <c r="N34" s="205"/>
      <c r="O34" s="305" t="s">
        <v>60</v>
      </c>
      <c r="P34" s="305"/>
      <c r="Q34" s="305"/>
      <c r="R34" s="212"/>
      <c r="S34" s="212"/>
      <c r="Y34" s="202"/>
    </row>
    <row r="35" spans="1:25" ht="51" x14ac:dyDescent="0.2">
      <c r="A35" s="214" t="s">
        <v>82</v>
      </c>
      <c r="B35" s="215"/>
      <c r="C35" s="216" t="s">
        <v>41</v>
      </c>
      <c r="D35" s="216" t="s">
        <v>43</v>
      </c>
      <c r="E35" s="216" t="s">
        <v>51</v>
      </c>
      <c r="F35" s="217" t="s">
        <v>52</v>
      </c>
      <c r="G35" s="216" t="s">
        <v>53</v>
      </c>
      <c r="H35" s="217" t="s">
        <v>46</v>
      </c>
      <c r="I35" s="217" t="s">
        <v>61</v>
      </c>
      <c r="J35" s="217" t="s">
        <v>62</v>
      </c>
      <c r="K35" s="217" t="s">
        <v>63</v>
      </c>
      <c r="L35" s="217" t="s">
        <v>64</v>
      </c>
      <c r="M35" s="217" t="s">
        <v>65</v>
      </c>
      <c r="N35" s="217" t="s">
        <v>66</v>
      </c>
      <c r="O35" s="217" t="s">
        <v>67</v>
      </c>
      <c r="P35" s="217" t="s">
        <v>68</v>
      </c>
      <c r="Q35" s="217" t="s">
        <v>69</v>
      </c>
      <c r="R35" s="201"/>
      <c r="S35" s="202"/>
      <c r="V35" s="203"/>
      <c r="W35" s="204"/>
      <c r="X35" s="201"/>
      <c r="Y35" s="202"/>
    </row>
    <row r="36" spans="1:25" ht="13.5" thickBot="1" x14ac:dyDescent="0.25">
      <c r="A36" s="197" t="s">
        <v>83</v>
      </c>
      <c r="C36" s="219">
        <f>'Rate DTS Reduction Calcs'!H16</f>
        <v>120</v>
      </c>
      <c r="D36" s="219" t="s">
        <v>71</v>
      </c>
      <c r="E36" s="220">
        <f>'Rate DTS Reduction Calcs'!H15/12</f>
        <v>2.4</v>
      </c>
      <c r="F36" s="221">
        <f>E36/C36</f>
        <v>0.02</v>
      </c>
      <c r="G36" s="220">
        <f>'Rate DTS Reduction Calcs'!H17</f>
        <v>756863.99999999988</v>
      </c>
      <c r="H36" s="221">
        <f>G36/(SUM(C36:D36)*8760)</f>
        <v>0.71999999999999986</v>
      </c>
      <c r="I36" s="222">
        <f>'Rate DTS Reduction Calcs'!J$67</f>
        <v>10421502.672</v>
      </c>
      <c r="J36" s="223" t="s">
        <v>71</v>
      </c>
      <c r="K36" s="223" t="s">
        <v>71</v>
      </c>
      <c r="L36" s="222">
        <f>SUM(I36:I36,J36)</f>
        <v>10421502.672</v>
      </c>
      <c r="M36" s="252">
        <f>L36/G36</f>
        <v>13.769320078640286</v>
      </c>
      <c r="N36" s="224" t="s">
        <v>72</v>
      </c>
      <c r="O36" s="222">
        <f>'Rate DTS Reduction Calcs'!J95</f>
        <v>22705919.999999996</v>
      </c>
      <c r="P36" s="222">
        <f>L36+O36</f>
        <v>33127422.671999998</v>
      </c>
      <c r="Q36" s="224" t="s">
        <v>72</v>
      </c>
      <c r="R36" s="232"/>
      <c r="S36" s="202"/>
      <c r="V36" s="203"/>
      <c r="W36" s="204"/>
      <c r="X36" s="201"/>
      <c r="Y36" s="202"/>
    </row>
    <row r="37" spans="1:25" ht="13.5" thickTop="1" x14ac:dyDescent="0.2">
      <c r="A37" s="197" t="s">
        <v>73</v>
      </c>
      <c r="C37" s="219">
        <f>'Rate DTS Reduction Calcs'!M16</f>
        <v>10</v>
      </c>
      <c r="D37" s="219">
        <f>'Rate DTS Reduction Calcs'!M25</f>
        <v>110</v>
      </c>
      <c r="E37" s="220">
        <f>'Rate DTS Reduction Calcs'!N15/12</f>
        <v>5</v>
      </c>
      <c r="F37" s="221">
        <f>E37/C37</f>
        <v>0.5</v>
      </c>
      <c r="G37" s="220">
        <f>SUM('Rate DTS Reduction Calcs'!N17,'Rate DTS Reduction Calcs'!N26)</f>
        <v>946080</v>
      </c>
      <c r="H37" s="221">
        <f>G37/(SUM(C37:D37)*8760)</f>
        <v>0.9</v>
      </c>
      <c r="I37" s="222">
        <f>'Rate DTS Reduction Calcs'!P$67</f>
        <v>1967460.3599999999</v>
      </c>
      <c r="J37" s="222">
        <f>'Rate DTS Reduction Calcs'!P$90</f>
        <v>8801592.4800000004</v>
      </c>
      <c r="K37" s="222">
        <f>'Rate DTS Reduction Calcs'!Q$90</f>
        <v>0</v>
      </c>
      <c r="L37" s="222">
        <f>SUM(I37,J37)</f>
        <v>10769052.84</v>
      </c>
      <c r="M37" s="293">
        <f>L37/G37</f>
        <v>11.382814180618976</v>
      </c>
      <c r="N37" s="225">
        <f>L37/L$36-1</f>
        <v>3.3349333482759702E-2</v>
      </c>
      <c r="O37" s="222">
        <f>'Rate DTS Reduction Calcs'!P95</f>
        <v>28382400</v>
      </c>
      <c r="P37" s="222">
        <f>L37+O37</f>
        <v>39151452.840000004</v>
      </c>
      <c r="Q37" s="225">
        <f>P37/P$36-1</f>
        <v>0.18184421491659375</v>
      </c>
      <c r="R37" s="201"/>
      <c r="S37" s="202"/>
      <c r="V37" s="203"/>
      <c r="W37" s="204"/>
      <c r="X37" s="201"/>
      <c r="Y37" s="202"/>
    </row>
    <row r="38" spans="1:25" s="275" customFormat="1" x14ac:dyDescent="0.2">
      <c r="A38" s="275" t="s">
        <v>84</v>
      </c>
      <c r="C38" s="276"/>
      <c r="D38" s="276"/>
      <c r="E38" s="277"/>
      <c r="F38" s="287"/>
      <c r="G38" s="277"/>
      <c r="H38" s="278"/>
      <c r="I38" s="279">
        <f>I36</f>
        <v>10421502.672</v>
      </c>
      <c r="J38" s="279"/>
      <c r="K38" s="279">
        <f>SUM(I37:J37)-I36</f>
        <v>347550.1679999996</v>
      </c>
      <c r="L38" s="279"/>
      <c r="M38" s="295"/>
      <c r="N38" s="281">
        <f>N37</f>
        <v>3.3349333482759702E-2</v>
      </c>
      <c r="O38" s="279"/>
      <c r="P38" s="279"/>
      <c r="Q38" s="281"/>
      <c r="R38" s="282"/>
      <c r="S38" s="283"/>
      <c r="V38" s="284"/>
      <c r="W38" s="285"/>
      <c r="X38" s="282"/>
      <c r="Y38" s="283"/>
    </row>
    <row r="39" spans="1:25" s="275" customFormat="1" ht="13.5" thickBot="1" x14ac:dyDescent="0.25">
      <c r="A39" s="275" t="s">
        <v>74</v>
      </c>
      <c r="C39" s="276"/>
      <c r="D39" s="276"/>
      <c r="E39" s="277"/>
      <c r="F39" s="287">
        <v>0.3</v>
      </c>
      <c r="G39" s="277">
        <f>G37</f>
        <v>946080</v>
      </c>
      <c r="H39" s="278"/>
      <c r="I39" s="279">
        <f>SUM(I37:J37)</f>
        <v>10769052.84</v>
      </c>
      <c r="J39" s="279"/>
      <c r="K39" s="279">
        <f>'Rate DTS Reduction Calcs'!$V$67-$I39</f>
        <v>4883829</v>
      </c>
      <c r="L39" s="279">
        <f>SUM(I39,K39)</f>
        <v>15652881.84</v>
      </c>
      <c r="M39" s="296">
        <f>L39/G39</f>
        <v>16.544987569761542</v>
      </c>
      <c r="N39" s="281">
        <f>L39/L$36-1</f>
        <v>0.50197935294450602</v>
      </c>
      <c r="O39" s="279">
        <f>'Rate DTS Reduction Calcs'!V95</f>
        <v>28382400</v>
      </c>
      <c r="P39" s="279">
        <f>L39+O39</f>
        <v>44035281.840000004</v>
      </c>
      <c r="Q39" s="281">
        <f>P39/P$37-1</f>
        <v>0.12474196091671774</v>
      </c>
      <c r="R39" s="282"/>
      <c r="S39" s="283"/>
      <c r="V39" s="284"/>
      <c r="W39" s="285"/>
      <c r="X39" s="282"/>
      <c r="Y39" s="283"/>
    </row>
    <row r="40" spans="1:25" ht="13.5" thickTop="1" x14ac:dyDescent="0.2"/>
    <row r="42" spans="1:25" x14ac:dyDescent="0.2">
      <c r="A42" s="286"/>
    </row>
  </sheetData>
  <mergeCells count="2">
    <mergeCell ref="A11:B11"/>
    <mergeCell ref="O34:Q34"/>
  </mergeCells>
  <dataValidations count="1">
    <dataValidation allowBlank="1" showInputMessage="1" sqref="Z21:Z22 AA21 G21:J24 K21:K30 X24:X30 C25:J30 E16:F16 Z10 C34:O34 K24:L30 L21:L23 M21:T30 C15:F15 C10:V10 D9:F9 C10:E14 C35:Q39 U34:U39" xr:uid="{9B16A3D0-43A6-4CC2-A05A-5AA918744C89}"/>
  </dataValidations>
  <printOptions horizontalCentered="1"/>
  <pageMargins left="0.25" right="0.25" top="0.5" bottom="0.5" header="0.3" footer="0.3"/>
  <pageSetup scale="33" orientation="portrait" r:id="rId1"/>
  <headerFooter alignWithMargins="0">
    <oddFooter>&amp;L&amp;8Attachment to Bill Estimator for 2021 Tariff (AESO ID #2021-015T)
Filename: &amp;F — Page&amp;P of &amp;N&amp;R&amp;8Confidentiality: Proprietary When Completed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94045-3057-4CA2-9DA7-F2DD9D4E5798}">
  <sheetPr>
    <tabColor theme="7" tint="0.79998168889431442"/>
    <pageSetUpPr fitToPage="1"/>
  </sheetPr>
  <dimension ref="A1:X106"/>
  <sheetViews>
    <sheetView showGridLines="0" topLeftCell="A18" zoomScale="85" zoomScaleNormal="85" workbookViewId="0"/>
  </sheetViews>
  <sheetFormatPr defaultColWidth="9.5703125" defaultRowHeight="12.75" x14ac:dyDescent="0.2"/>
  <cols>
    <col min="1" max="1" width="7.42578125" customWidth="1"/>
    <col min="2" max="2" width="8.42578125" customWidth="1"/>
    <col min="3" max="3" width="26.5703125" customWidth="1"/>
    <col min="4" max="4" width="8.5703125" customWidth="1"/>
    <col min="5" max="5" width="10.5703125" customWidth="1"/>
    <col min="6" max="6" width="11.5703125" customWidth="1"/>
    <col min="7" max="7" width="15.7109375" customWidth="1"/>
    <col min="8" max="9" width="10.42578125" customWidth="1"/>
    <col min="10" max="10" width="15.7109375" customWidth="1"/>
    <col min="12" max="12" width="12.28515625" customWidth="1"/>
    <col min="13" max="13" width="17" customWidth="1"/>
    <col min="14" max="15" width="10.42578125" customWidth="1"/>
    <col min="16" max="16" width="15.140625" customWidth="1"/>
    <col min="18" max="18" width="12.28515625" customWidth="1"/>
    <col min="19" max="19" width="17" customWidth="1"/>
    <col min="20" max="21" width="10.42578125" customWidth="1"/>
    <col min="22" max="22" width="15.140625" customWidth="1"/>
  </cols>
  <sheetData>
    <row r="1" spans="1:22" ht="18.75" x14ac:dyDescent="0.4">
      <c r="A1" t="s">
        <v>34</v>
      </c>
      <c r="C1" s="312">
        <f ca="1">TODAY()</f>
        <v>45616</v>
      </c>
      <c r="D1" s="312"/>
      <c r="E1" s="312"/>
      <c r="F1" s="162"/>
      <c r="G1" s="162"/>
      <c r="H1" s="162"/>
      <c r="L1" s="144" t="s">
        <v>85</v>
      </c>
      <c r="M1" s="144"/>
      <c r="N1" s="144"/>
      <c r="O1" s="144"/>
      <c r="P1" s="145">
        <f>$P$98</f>
        <v>4.9688201344060943</v>
      </c>
      <c r="R1" s="246" t="s">
        <v>85</v>
      </c>
      <c r="S1" s="246"/>
      <c r="T1" s="246"/>
      <c r="U1" s="246"/>
      <c r="V1" s="247">
        <f>$V$98</f>
        <v>0.29644807283720742</v>
      </c>
    </row>
    <row r="2" spans="1:22" ht="18.75" x14ac:dyDescent="0.4">
      <c r="C2" s="162"/>
      <c r="D2" s="162"/>
      <c r="E2" s="162"/>
      <c r="F2" s="162"/>
      <c r="G2" s="162"/>
      <c r="H2" s="162"/>
      <c r="L2" s="151" t="s">
        <v>86</v>
      </c>
      <c r="M2" s="151"/>
      <c r="N2" s="151"/>
      <c r="O2" s="151"/>
      <c r="P2" s="152">
        <f>$P$93</f>
        <v>2.1137164843416971</v>
      </c>
      <c r="R2" s="248" t="s">
        <v>86</v>
      </c>
      <c r="S2" s="248"/>
      <c r="T2" s="248"/>
      <c r="U2" s="248"/>
      <c r="V2" s="249">
        <f>$V$93</f>
        <v>0.97075755779590955</v>
      </c>
    </row>
    <row r="3" spans="1:22" x14ac:dyDescent="0.2">
      <c r="C3" s="162"/>
      <c r="D3" s="162"/>
      <c r="E3" s="162"/>
      <c r="F3" s="162"/>
      <c r="G3" s="162"/>
      <c r="H3" s="162"/>
    </row>
    <row r="4" spans="1:22" x14ac:dyDescent="0.2">
      <c r="G4" s="30"/>
      <c r="H4" s="109"/>
    </row>
    <row r="5" spans="1:22" s="3" customFormat="1" ht="7.15" customHeight="1" x14ac:dyDescent="0.15"/>
    <row r="6" spans="1:22" x14ac:dyDescent="0.2">
      <c r="I6" s="266" t="s">
        <v>87</v>
      </c>
      <c r="J6" s="108">
        <v>2024</v>
      </c>
      <c r="O6" s="31" t="s">
        <v>88</v>
      </c>
      <c r="P6" s="240" t="s">
        <v>89</v>
      </c>
      <c r="U6" s="31" t="s">
        <v>88</v>
      </c>
      <c r="V6" s="240" t="s">
        <v>90</v>
      </c>
    </row>
    <row r="7" spans="1:22" x14ac:dyDescent="0.2">
      <c r="I7" s="31"/>
      <c r="J7" s="108"/>
    </row>
    <row r="9" spans="1:22" x14ac:dyDescent="0.2">
      <c r="F9" s="244"/>
      <c r="G9" s="244" t="s">
        <v>54</v>
      </c>
      <c r="H9" s="244"/>
      <c r="I9" s="244"/>
      <c r="J9" s="110"/>
      <c r="L9" s="313" t="s">
        <v>57</v>
      </c>
      <c r="M9" s="313"/>
      <c r="N9" s="313"/>
      <c r="O9" s="313"/>
      <c r="P9" s="313"/>
      <c r="R9" s="314" t="s">
        <v>91</v>
      </c>
      <c r="S9" s="314"/>
      <c r="T9" s="314"/>
      <c r="U9" s="314"/>
      <c r="V9" s="314"/>
    </row>
    <row r="10" spans="1:22" x14ac:dyDescent="0.2">
      <c r="E10" s="4" t="s">
        <v>92</v>
      </c>
      <c r="F10" s="244"/>
      <c r="G10" s="244" t="s">
        <v>55</v>
      </c>
      <c r="H10" s="244"/>
      <c r="I10" s="244"/>
      <c r="J10" s="7"/>
      <c r="K10" s="4" t="s">
        <v>92</v>
      </c>
      <c r="L10" s="313" t="s">
        <v>93</v>
      </c>
      <c r="M10" s="313"/>
      <c r="N10" s="313"/>
      <c r="O10" s="313"/>
      <c r="P10" s="313"/>
      <c r="R10" s="314" t="s">
        <v>94</v>
      </c>
      <c r="S10" s="314"/>
      <c r="T10" s="314"/>
      <c r="U10" s="314"/>
      <c r="V10" s="314"/>
    </row>
    <row r="11" spans="1:22" x14ac:dyDescent="0.2">
      <c r="B11" s="162" t="s">
        <v>95</v>
      </c>
      <c r="C11" s="5"/>
      <c r="D11" s="5"/>
      <c r="E11" s="5"/>
      <c r="F11" s="5" t="s">
        <v>96</v>
      </c>
      <c r="G11" s="5" t="s">
        <v>97</v>
      </c>
      <c r="H11" s="307" t="s">
        <v>98</v>
      </c>
      <c r="I11" s="307"/>
      <c r="K11" s="5"/>
      <c r="L11" s="5" t="s">
        <v>96</v>
      </c>
      <c r="M11" s="5" t="s">
        <v>97</v>
      </c>
      <c r="N11" s="307" t="s">
        <v>98</v>
      </c>
      <c r="O11" s="307"/>
      <c r="Q11" s="5"/>
      <c r="R11" s="5" t="s">
        <v>96</v>
      </c>
      <c r="S11" s="5" t="s">
        <v>97</v>
      </c>
      <c r="T11" s="307" t="s">
        <v>98</v>
      </c>
      <c r="U11" s="307"/>
    </row>
    <row r="12" spans="1:22" x14ac:dyDescent="0.2">
      <c r="B12" s="31" t="s">
        <v>99</v>
      </c>
      <c r="C12" t="s">
        <v>100</v>
      </c>
      <c r="G12" s="7"/>
      <c r="H12" s="34">
        <f>'No Rate DTS Reduction'!$G$12</f>
        <v>9.0909090909090912E-2</v>
      </c>
      <c r="M12" s="7"/>
      <c r="N12" s="34">
        <f>'No Rate DTS Reduction'!$G$13</f>
        <v>9.0909090909090912E-2</v>
      </c>
      <c r="S12" s="7"/>
      <c r="T12" s="34">
        <f>S16/SUM(S16,S22)</f>
        <v>0.5</v>
      </c>
    </row>
    <row r="13" spans="1:22" x14ac:dyDescent="0.2">
      <c r="B13" s="31" t="s">
        <v>101</v>
      </c>
      <c r="C13" t="s">
        <v>42</v>
      </c>
      <c r="G13" s="7"/>
      <c r="H13" s="108" t="str">
        <f>'No Rate DTS Reduction'!$D$12</f>
        <v>Yes</v>
      </c>
      <c r="M13" s="7"/>
      <c r="N13" s="108" t="str">
        <f>'No Rate DTS Reduction'!$D$13</f>
        <v>Yes</v>
      </c>
      <c r="S13" s="7"/>
      <c r="T13" s="108" t="str">
        <f>N13</f>
        <v>Yes</v>
      </c>
    </row>
    <row r="14" spans="1:22" x14ac:dyDescent="0.2">
      <c r="B14" s="31" t="s">
        <v>102</v>
      </c>
      <c r="C14" t="s">
        <v>103</v>
      </c>
      <c r="G14" s="32">
        <f>G16</f>
        <v>5</v>
      </c>
      <c r="H14" s="32">
        <f>$G$14*12</f>
        <v>60</v>
      </c>
      <c r="I14" t="s">
        <v>104</v>
      </c>
      <c r="M14" s="32">
        <f>M16</f>
        <v>5</v>
      </c>
      <c r="N14" s="32">
        <f>M14*12</f>
        <v>60</v>
      </c>
      <c r="O14" t="s">
        <v>104</v>
      </c>
      <c r="S14" s="32">
        <f>'No Rate DTS Reduction'!C37</f>
        <v>50</v>
      </c>
      <c r="T14" s="32">
        <f>S14*12</f>
        <v>600</v>
      </c>
      <c r="U14" t="s">
        <v>104</v>
      </c>
    </row>
    <row r="15" spans="1:22" x14ac:dyDescent="0.2">
      <c r="B15" s="31" t="s">
        <v>105</v>
      </c>
      <c r="C15" s="36" t="s">
        <v>106</v>
      </c>
      <c r="F15" s="106">
        <f>H15/H14</f>
        <v>0.2</v>
      </c>
      <c r="G15" s="125">
        <f>'No Rate DTS Reduction'!$M$12</f>
        <v>1</v>
      </c>
      <c r="H15" s="32">
        <f>G15*12</f>
        <v>12</v>
      </c>
      <c r="I15" t="s">
        <v>104</v>
      </c>
      <c r="L15" s="106">
        <f>N15/N14</f>
        <v>0.2</v>
      </c>
      <c r="M15" s="125">
        <f>'No Rate DTS Reduction'!$M$13</f>
        <v>1</v>
      </c>
      <c r="N15" s="32">
        <f>M15*12</f>
        <v>12</v>
      </c>
      <c r="O15" s="36" t="s">
        <v>104</v>
      </c>
      <c r="R15" s="106">
        <f>'No Rate DTS Reduction'!F37</f>
        <v>0</v>
      </c>
      <c r="S15" s="125">
        <f>S14*R15</f>
        <v>0</v>
      </c>
      <c r="T15" s="32">
        <f>S15*12</f>
        <v>0</v>
      </c>
      <c r="U15" s="36" t="s">
        <v>104</v>
      </c>
    </row>
    <row r="16" spans="1:22" x14ac:dyDescent="0.2">
      <c r="B16" s="95" t="s">
        <v>107</v>
      </c>
      <c r="C16" t="s">
        <v>108</v>
      </c>
      <c r="G16" s="125">
        <f>'No Rate DTS Reduction'!$C$12</f>
        <v>5</v>
      </c>
      <c r="H16" s="107">
        <f>G16</f>
        <v>5</v>
      </c>
      <c r="I16" t="s">
        <v>104</v>
      </c>
      <c r="M16" s="125">
        <f>'No Rate DTS Reduction'!$C$13</f>
        <v>5</v>
      </c>
      <c r="N16" s="107">
        <f>M16*12</f>
        <v>60</v>
      </c>
      <c r="O16" t="s">
        <v>104</v>
      </c>
      <c r="S16" s="125">
        <f>'No Rate DTS Reduction'!C37</f>
        <v>50</v>
      </c>
      <c r="T16" s="107">
        <f>S16*12</f>
        <v>600</v>
      </c>
      <c r="U16" t="s">
        <v>104</v>
      </c>
    </row>
    <row r="17" spans="1:22" x14ac:dyDescent="0.2">
      <c r="B17" s="95" t="s">
        <v>109</v>
      </c>
      <c r="C17" t="s">
        <v>110</v>
      </c>
      <c r="F17" s="231">
        <f>H17/(8760*G14)</f>
        <v>0.2</v>
      </c>
      <c r="G17" s="33">
        <f>H17/12</f>
        <v>730</v>
      </c>
      <c r="H17" s="125">
        <f>'No Rate DTS Reduction'!$O$12</f>
        <v>8760</v>
      </c>
      <c r="I17" t="s">
        <v>111</v>
      </c>
      <c r="L17" s="231">
        <f>'No Rate DTS Reduction'!$I$13</f>
        <v>0.8</v>
      </c>
      <c r="M17" s="234"/>
      <c r="N17" s="33">
        <f>MIN(M16*8760*L17,H17)</f>
        <v>8760</v>
      </c>
      <c r="O17" t="s">
        <v>111</v>
      </c>
      <c r="R17" s="231">
        <f>'No Rate DTS Reduction'!H37</f>
        <v>0.2</v>
      </c>
      <c r="S17" s="33"/>
      <c r="T17" s="33">
        <f>S16*8760*R17</f>
        <v>87600</v>
      </c>
      <c r="U17" t="s">
        <v>111</v>
      </c>
    </row>
    <row r="18" spans="1:22" x14ac:dyDescent="0.2">
      <c r="B18" s="95" t="s">
        <v>112</v>
      </c>
      <c r="C18" t="s">
        <v>113</v>
      </c>
      <c r="G18" s="32">
        <f>H18/12</f>
        <v>5</v>
      </c>
      <c r="H18" s="32">
        <f>MAX(H14,H16*90%)</f>
        <v>60</v>
      </c>
      <c r="I18" t="s">
        <v>104</v>
      </c>
      <c r="M18" s="32">
        <f>N18/12</f>
        <v>5</v>
      </c>
      <c r="N18" s="32">
        <f>MAX(N14,N16*90%)</f>
        <v>60</v>
      </c>
      <c r="O18" t="s">
        <v>104</v>
      </c>
      <c r="S18" s="32"/>
      <c r="T18" s="32">
        <f>MAX(T14,T16*90%)</f>
        <v>600</v>
      </c>
      <c r="U18" t="s">
        <v>104</v>
      </c>
    </row>
    <row r="19" spans="1:22" x14ac:dyDescent="0.2">
      <c r="B19" s="95" t="s">
        <v>114</v>
      </c>
      <c r="C19" s="36" t="s">
        <v>115</v>
      </c>
      <c r="G19" s="82"/>
      <c r="H19" s="32">
        <v>0</v>
      </c>
      <c r="I19" t="s">
        <v>116</v>
      </c>
      <c r="M19" s="82"/>
      <c r="N19" s="32">
        <v>0</v>
      </c>
      <c r="O19" t="s">
        <v>116</v>
      </c>
      <c r="S19" s="82"/>
      <c r="T19" s="32">
        <v>0</v>
      </c>
      <c r="U19" t="s">
        <v>116</v>
      </c>
    </row>
    <row r="20" spans="1:22" x14ac:dyDescent="0.2">
      <c r="B20" s="31" t="s">
        <v>117</v>
      </c>
      <c r="C20" t="s">
        <v>118</v>
      </c>
      <c r="G20" s="7"/>
      <c r="H20" s="83">
        <f>'No Rate DTS Reduction'!$K$12</f>
        <v>30</v>
      </c>
      <c r="I20" s="15" t="s">
        <v>119</v>
      </c>
      <c r="M20" s="7"/>
      <c r="N20" s="83">
        <f>'No Rate DTS Reduction'!$K$13</f>
        <v>30</v>
      </c>
      <c r="O20" s="15" t="s">
        <v>119</v>
      </c>
      <c r="S20" s="7"/>
      <c r="T20" s="83">
        <f>N20</f>
        <v>30</v>
      </c>
      <c r="U20" s="15" t="s">
        <v>119</v>
      </c>
    </row>
    <row r="21" spans="1:22" x14ac:dyDescent="0.2">
      <c r="B21" s="31" t="s">
        <v>120</v>
      </c>
      <c r="C21" t="s">
        <v>48</v>
      </c>
      <c r="G21" s="7"/>
      <c r="H21" s="83">
        <f>'No Rate DTS Reduction'!$J$12</f>
        <v>80</v>
      </c>
      <c r="I21" s="15" t="s">
        <v>119</v>
      </c>
      <c r="M21" s="7"/>
      <c r="N21" s="83">
        <f>'No Rate DTS Reduction'!$J$13</f>
        <v>80</v>
      </c>
      <c r="O21" s="15" t="s">
        <v>119</v>
      </c>
      <c r="S21" s="7"/>
      <c r="T21" s="83">
        <f>N21</f>
        <v>80</v>
      </c>
      <c r="U21" s="15" t="s">
        <v>119</v>
      </c>
    </row>
    <row r="22" spans="1:22" x14ac:dyDescent="0.2">
      <c r="B22" s="95" t="s">
        <v>121</v>
      </c>
      <c r="C22" s="36" t="s">
        <v>122</v>
      </c>
      <c r="G22" s="234">
        <f>'No Rate DTS Reduction'!$F$12</f>
        <v>50</v>
      </c>
      <c r="H22" s="32"/>
      <c r="I22" t="s">
        <v>104</v>
      </c>
      <c r="M22" s="234">
        <f>'No Rate DTS Reduction'!$F$13</f>
        <v>50</v>
      </c>
      <c r="N22" s="32"/>
      <c r="O22" t="s">
        <v>104</v>
      </c>
      <c r="S22" s="234">
        <f>M22</f>
        <v>50</v>
      </c>
      <c r="T22" s="32"/>
      <c r="U22" t="s">
        <v>104</v>
      </c>
    </row>
    <row r="24" spans="1:22" x14ac:dyDescent="0.2">
      <c r="B24" s="162" t="s">
        <v>123</v>
      </c>
      <c r="C24" s="5"/>
      <c r="D24" s="5"/>
      <c r="E24" s="5"/>
      <c r="F24" s="5" t="s">
        <v>96</v>
      </c>
      <c r="G24" s="5" t="s">
        <v>97</v>
      </c>
      <c r="H24" s="307" t="s">
        <v>124</v>
      </c>
      <c r="I24" s="307"/>
      <c r="K24" s="5"/>
      <c r="L24" s="245" t="s">
        <v>96</v>
      </c>
      <c r="M24" s="245" t="s">
        <v>97</v>
      </c>
      <c r="N24" s="308" t="s">
        <v>124</v>
      </c>
      <c r="O24" s="308"/>
      <c r="P24" s="141"/>
      <c r="Q24" s="5"/>
    </row>
    <row r="25" spans="1:22" x14ac:dyDescent="0.2">
      <c r="A25" s="36"/>
      <c r="B25" s="31" t="s">
        <v>99</v>
      </c>
      <c r="C25" t="s">
        <v>108</v>
      </c>
      <c r="G25" s="105"/>
      <c r="H25" s="107"/>
      <c r="M25" s="32">
        <f>'No Rate DTS Reduction'!E13</f>
        <v>45</v>
      </c>
      <c r="N25" s="32">
        <f>M25*12</f>
        <v>540</v>
      </c>
      <c r="O25" s="36" t="s">
        <v>104</v>
      </c>
    </row>
    <row r="26" spans="1:22" x14ac:dyDescent="0.2">
      <c r="B26" s="31" t="s">
        <v>101</v>
      </c>
      <c r="C26" t="s">
        <v>110</v>
      </c>
      <c r="F26" s="106"/>
      <c r="G26" s="33"/>
      <c r="H26" s="33"/>
      <c r="N26" s="33">
        <f>'No Rate DTS Reduction'!$O$13-N17</f>
        <v>78840</v>
      </c>
      <c r="O26" t="s">
        <v>111</v>
      </c>
    </row>
    <row r="27" spans="1:22" x14ac:dyDescent="0.2">
      <c r="B27" s="31" t="s">
        <v>105</v>
      </c>
      <c r="C27" t="s">
        <v>118</v>
      </c>
      <c r="G27" s="7"/>
      <c r="H27" s="83"/>
      <c r="I27" s="15"/>
      <c r="M27" s="7"/>
      <c r="N27" s="83">
        <f>N20</f>
        <v>30</v>
      </c>
      <c r="O27" s="15" t="s">
        <v>119</v>
      </c>
    </row>
    <row r="28" spans="1:22" x14ac:dyDescent="0.2">
      <c r="B28" s="95" t="s">
        <v>107</v>
      </c>
      <c r="C28" t="s">
        <v>48</v>
      </c>
      <c r="G28" s="7"/>
      <c r="H28" s="83"/>
      <c r="I28" s="15"/>
      <c r="M28" s="7"/>
      <c r="N28" s="83">
        <f>N21</f>
        <v>80</v>
      </c>
      <c r="O28" s="15" t="s">
        <v>119</v>
      </c>
    </row>
    <row r="29" spans="1:22" x14ac:dyDescent="0.2">
      <c r="B29" s="95" t="s">
        <v>109</v>
      </c>
      <c r="C29" s="36" t="s">
        <v>125</v>
      </c>
      <c r="G29" s="7"/>
      <c r="H29" s="83"/>
      <c r="I29" s="15"/>
      <c r="L29" s="235">
        <f>'No Rate DTS Reduction'!$L$13</f>
        <v>0.02</v>
      </c>
      <c r="M29" s="7"/>
      <c r="N29" s="84">
        <f>L29</f>
        <v>0.02</v>
      </c>
      <c r="O29" s="15"/>
    </row>
    <row r="30" spans="1:22" x14ac:dyDescent="0.2">
      <c r="B30" s="95"/>
    </row>
    <row r="31" spans="1:22" x14ac:dyDescent="0.2">
      <c r="A31" s="307" t="s">
        <v>126</v>
      </c>
      <c r="B31" s="307"/>
      <c r="C31" s="307"/>
      <c r="D31" s="307"/>
      <c r="E31" s="307"/>
      <c r="F31" s="307" t="s">
        <v>82</v>
      </c>
      <c r="G31" s="307"/>
      <c r="H31" s="307" t="s">
        <v>127</v>
      </c>
      <c r="I31" s="307"/>
      <c r="J31" s="35" t="s">
        <v>128</v>
      </c>
      <c r="L31" s="315" t="s">
        <v>82</v>
      </c>
      <c r="M31" s="315"/>
      <c r="N31" s="315" t="s">
        <v>127</v>
      </c>
      <c r="O31" s="315"/>
      <c r="P31" s="35" t="s">
        <v>128</v>
      </c>
      <c r="R31" s="315" t="s">
        <v>82</v>
      </c>
      <c r="S31" s="315"/>
      <c r="T31" s="315" t="s">
        <v>127</v>
      </c>
      <c r="U31" s="315"/>
      <c r="V31" s="35" t="s">
        <v>128</v>
      </c>
    </row>
    <row r="32" spans="1:22" x14ac:dyDescent="0.2">
      <c r="A32" s="309" t="s">
        <v>129</v>
      </c>
      <c r="B32" s="310"/>
      <c r="C32" s="310"/>
      <c r="D32" s="310"/>
      <c r="E32" s="310"/>
      <c r="F32" s="310"/>
      <c r="G32" s="310"/>
      <c r="H32" s="310"/>
      <c r="I32" s="310"/>
      <c r="J32" s="311"/>
      <c r="L32" s="165" t="s">
        <v>129</v>
      </c>
      <c r="M32" s="166"/>
      <c r="N32" s="166"/>
      <c r="O32" s="166"/>
      <c r="P32" s="167"/>
      <c r="R32" s="165" t="s">
        <v>129</v>
      </c>
      <c r="S32" s="166"/>
      <c r="T32" s="166"/>
      <c r="U32" s="166"/>
      <c r="V32" s="167"/>
    </row>
    <row r="33" spans="1:22" x14ac:dyDescent="0.2">
      <c r="A33" s="4" t="s">
        <v>130</v>
      </c>
      <c r="C33" s="4"/>
      <c r="D33" s="4"/>
      <c r="E33" s="4"/>
      <c r="F33" s="4"/>
      <c r="G33" s="4"/>
      <c r="H33" s="37"/>
      <c r="I33" s="4"/>
      <c r="J33" s="8"/>
      <c r="L33" s="4"/>
      <c r="M33" s="4"/>
      <c r="N33" s="37"/>
      <c r="O33" s="4"/>
      <c r="P33" s="8"/>
      <c r="R33" s="4"/>
      <c r="S33" s="4"/>
      <c r="T33" s="37"/>
      <c r="U33" s="4"/>
      <c r="V33" s="8"/>
    </row>
    <row r="34" spans="1:22" x14ac:dyDescent="0.2">
      <c r="A34" s="24" t="s">
        <v>131</v>
      </c>
      <c r="B34" s="25"/>
      <c r="C34" s="25"/>
      <c r="D34" s="25"/>
      <c r="E34" s="25"/>
      <c r="F34" s="26"/>
      <c r="G34" s="25"/>
      <c r="H34" s="38"/>
      <c r="I34" s="25"/>
      <c r="J34" s="48"/>
      <c r="L34" s="96"/>
      <c r="M34" s="25"/>
      <c r="N34" s="38"/>
      <c r="O34" s="25"/>
      <c r="P34" s="48"/>
      <c r="R34" s="96"/>
      <c r="S34" s="25"/>
      <c r="T34" s="38"/>
      <c r="U34" s="25"/>
      <c r="V34" s="48"/>
    </row>
    <row r="35" spans="1:22" x14ac:dyDescent="0.2">
      <c r="A35" s="14" t="s">
        <v>132</v>
      </c>
      <c r="B35" t="s">
        <v>106</v>
      </c>
      <c r="F35" s="78">
        <f>INDEX('Rates Lookup'!$C$4:$Y$4,1,MATCH($J$6,'Rates Lookup'!$C$1:$Y$1,0))</f>
        <v>10899</v>
      </c>
      <c r="G35" s="15" t="s">
        <v>133</v>
      </c>
      <c r="H35" s="32">
        <f>H15</f>
        <v>12</v>
      </c>
      <c r="I35" t="str">
        <f>I15</f>
        <v>MW</v>
      </c>
      <c r="J35" s="49">
        <f>F35*H35</f>
        <v>130788</v>
      </c>
      <c r="L35" s="97">
        <f>F35</f>
        <v>10899</v>
      </c>
      <c r="M35" s="15" t="s">
        <v>133</v>
      </c>
      <c r="N35" s="32">
        <f>N15</f>
        <v>12</v>
      </c>
      <c r="O35" t="str">
        <f>O15</f>
        <v>MW</v>
      </c>
      <c r="P35" s="49">
        <f>L35*N35</f>
        <v>130788</v>
      </c>
      <c r="R35" s="97">
        <f>F35</f>
        <v>10899</v>
      </c>
      <c r="S35" s="15" t="s">
        <v>133</v>
      </c>
      <c r="T35" s="32">
        <f>T15</f>
        <v>0</v>
      </c>
      <c r="U35" t="str">
        <f>U15</f>
        <v>MW</v>
      </c>
      <c r="V35" s="49">
        <f>R35*T35</f>
        <v>0</v>
      </c>
    </row>
    <row r="36" spans="1:22" x14ac:dyDescent="0.2">
      <c r="A36" s="115" t="s">
        <v>134</v>
      </c>
      <c r="B36" s="16" t="s">
        <v>135</v>
      </c>
      <c r="C36" s="16"/>
      <c r="D36" s="16"/>
      <c r="E36" s="16"/>
      <c r="F36" s="78">
        <f>INDEX('Rates Lookup'!$C$5:$Y$5,1,MATCH($J$6,'Rates Lookup'!$C$1:$Y$1,0))</f>
        <v>1.22</v>
      </c>
      <c r="G36" s="17" t="s">
        <v>119</v>
      </c>
      <c r="H36" s="39">
        <f>H17</f>
        <v>8760</v>
      </c>
      <c r="I36" s="16" t="str">
        <f>I17</f>
        <v>MWh</v>
      </c>
      <c r="J36" s="50">
        <f>F36*H36</f>
        <v>10687.199999999999</v>
      </c>
      <c r="L36" s="97">
        <f>F36</f>
        <v>1.22</v>
      </c>
      <c r="M36" s="17" t="s">
        <v>119</v>
      </c>
      <c r="N36" s="39">
        <f>N17</f>
        <v>8760</v>
      </c>
      <c r="O36" s="16" t="str">
        <f>O17</f>
        <v>MWh</v>
      </c>
      <c r="P36" s="50">
        <f>L36*N36</f>
        <v>10687.199999999999</v>
      </c>
      <c r="R36" s="97">
        <f>F36</f>
        <v>1.22</v>
      </c>
      <c r="S36" s="17" t="s">
        <v>119</v>
      </c>
      <c r="T36" s="39">
        <f>T17</f>
        <v>87600</v>
      </c>
      <c r="U36" s="16" t="str">
        <f>U17</f>
        <v>MWh</v>
      </c>
      <c r="V36" s="50">
        <f>R36*T36</f>
        <v>106872</v>
      </c>
    </row>
    <row r="37" spans="1:22" x14ac:dyDescent="0.2">
      <c r="A37" s="27" t="s">
        <v>136</v>
      </c>
      <c r="B37" s="28"/>
      <c r="C37" s="28"/>
      <c r="D37" s="28"/>
      <c r="E37" s="28"/>
      <c r="F37" s="29"/>
      <c r="G37" s="28"/>
      <c r="H37" s="40"/>
      <c r="I37" s="28"/>
      <c r="J37" s="51"/>
      <c r="L37" s="98"/>
      <c r="M37" s="28"/>
      <c r="N37" s="40"/>
      <c r="O37" s="28"/>
      <c r="P37" s="51"/>
      <c r="R37" s="98"/>
      <c r="S37" s="28"/>
      <c r="T37" s="40"/>
      <c r="U37" s="28"/>
      <c r="V37" s="51"/>
    </row>
    <row r="38" spans="1:22" x14ac:dyDescent="0.2">
      <c r="A38" s="14" t="s">
        <v>134</v>
      </c>
      <c r="B38" t="s">
        <v>113</v>
      </c>
      <c r="F38" s="78">
        <f>INDEX('Rates Lookup'!$C$6:$Y$6,1,MATCH($J$6,'Rates Lookup'!$C$1:$Y$1,0))</f>
        <v>2841</v>
      </c>
      <c r="G38" s="15" t="s">
        <v>133</v>
      </c>
      <c r="H38" s="32">
        <f>H18</f>
        <v>60</v>
      </c>
      <c r="I38" t="str">
        <f>I18</f>
        <v>MW</v>
      </c>
      <c r="J38" s="49">
        <f>F38*H38</f>
        <v>170460</v>
      </c>
      <c r="L38" s="97">
        <f t="shared" ref="L38:L45" si="0">F38</f>
        <v>2841</v>
      </c>
      <c r="M38" s="15" t="s">
        <v>133</v>
      </c>
      <c r="N38" s="32">
        <f>N18</f>
        <v>60</v>
      </c>
      <c r="O38" t="str">
        <f>O18</f>
        <v>MW</v>
      </c>
      <c r="P38" s="49">
        <f>L38*N38</f>
        <v>170460</v>
      </c>
      <c r="R38" s="97">
        <f t="shared" ref="R38:R39" si="1">F38</f>
        <v>2841</v>
      </c>
      <c r="S38" s="15" t="s">
        <v>133</v>
      </c>
      <c r="T38" s="32">
        <f>T18</f>
        <v>600</v>
      </c>
      <c r="U38" t="str">
        <f>U18</f>
        <v>MW</v>
      </c>
      <c r="V38" s="49">
        <f>R38*T38</f>
        <v>1704600</v>
      </c>
    </row>
    <row r="39" spans="1:22" x14ac:dyDescent="0.2">
      <c r="A39" s="115" t="s">
        <v>137</v>
      </c>
      <c r="B39" s="16" t="s">
        <v>110</v>
      </c>
      <c r="C39" s="16"/>
      <c r="D39" s="16"/>
      <c r="E39" s="16"/>
      <c r="F39" s="78">
        <f>INDEX('Rates Lookup'!$C$7:$Y$7,1,MATCH($J$6,'Rates Lookup'!$C$1:$Y$1,0))</f>
        <v>0.92</v>
      </c>
      <c r="G39" s="17" t="s">
        <v>119</v>
      </c>
      <c r="H39" s="39">
        <f>H17</f>
        <v>8760</v>
      </c>
      <c r="I39" s="16" t="str">
        <f>I17</f>
        <v>MWh</v>
      </c>
      <c r="J39" s="50">
        <f>F39*H39</f>
        <v>8059.2000000000007</v>
      </c>
      <c r="L39" s="97">
        <f t="shared" si="0"/>
        <v>0.92</v>
      </c>
      <c r="M39" s="17" t="s">
        <v>119</v>
      </c>
      <c r="N39" s="39">
        <f>N17</f>
        <v>8760</v>
      </c>
      <c r="O39" s="16" t="str">
        <f>O17</f>
        <v>MWh</v>
      </c>
      <c r="P39" s="50">
        <f>L39*N39</f>
        <v>8059.2000000000007</v>
      </c>
      <c r="R39" s="97">
        <f t="shared" si="1"/>
        <v>0.92</v>
      </c>
      <c r="S39" s="17" t="s">
        <v>119</v>
      </c>
      <c r="T39" s="39">
        <f>T17</f>
        <v>87600</v>
      </c>
      <c r="U39" s="16" t="str">
        <f>U17</f>
        <v>MWh</v>
      </c>
      <c r="V39" s="50">
        <f>R39*T39</f>
        <v>80592</v>
      </c>
    </row>
    <row r="40" spans="1:22" x14ac:dyDescent="0.2">
      <c r="A40" s="27" t="s">
        <v>138</v>
      </c>
      <c r="B40" s="28"/>
      <c r="C40" s="28"/>
      <c r="D40" s="28"/>
      <c r="E40" s="28"/>
      <c r="F40" s="29"/>
      <c r="G40" s="28"/>
      <c r="H40" s="40"/>
      <c r="I40" s="28"/>
      <c r="J40" s="51"/>
      <c r="L40" s="98"/>
      <c r="M40" s="28"/>
      <c r="N40" s="40"/>
      <c r="O40" s="28"/>
      <c r="P40" s="51"/>
      <c r="R40" s="98"/>
      <c r="S40" s="28"/>
      <c r="T40" s="40"/>
      <c r="U40" s="28"/>
      <c r="V40" s="51"/>
    </row>
    <row r="41" spans="1:22" x14ac:dyDescent="0.2">
      <c r="A41" s="14" t="s">
        <v>139</v>
      </c>
      <c r="B41" t="s">
        <v>140</v>
      </c>
      <c r="F41" s="78">
        <f>INDEX('Rates Lookup'!$C$8:$Y$8,1,MATCH($J$6,'Rates Lookup'!$C$1:$Y$1,0))</f>
        <v>14641</v>
      </c>
      <c r="G41" s="15" t="s">
        <v>141</v>
      </c>
      <c r="H41" s="34">
        <f>H12</f>
        <v>9.0909090909090912E-2</v>
      </c>
      <c r="J41" s="49">
        <f>F41*H41*12</f>
        <v>15972</v>
      </c>
      <c r="L41" s="97">
        <f t="shared" si="0"/>
        <v>14641</v>
      </c>
      <c r="M41" s="15" t="s">
        <v>141</v>
      </c>
      <c r="N41" s="34">
        <f>N12</f>
        <v>9.0909090909090912E-2</v>
      </c>
      <c r="P41" s="49">
        <f>L41*N41*12</f>
        <v>15972</v>
      </c>
      <c r="R41" s="97">
        <f t="shared" ref="R41:R45" si="2">F41</f>
        <v>14641</v>
      </c>
      <c r="S41" s="15" t="s">
        <v>141</v>
      </c>
      <c r="T41" s="34">
        <f>T12</f>
        <v>0.5</v>
      </c>
      <c r="V41" s="49">
        <f>R41*T41*12</f>
        <v>87846</v>
      </c>
    </row>
    <row r="42" spans="1:22" x14ac:dyDescent="0.2">
      <c r="A42" s="14" t="s">
        <v>142</v>
      </c>
      <c r="B42" t="s">
        <v>143</v>
      </c>
      <c r="F42" s="78">
        <f>INDEX('Rates Lookup'!$C$9:$Y$9,1,MATCH($J$6,'Rates Lookup'!$C$1:$Y$1,0))</f>
        <v>4819</v>
      </c>
      <c r="G42" s="15" t="s">
        <v>133</v>
      </c>
      <c r="H42" s="32">
        <f>MIN(G18,7.5*H12)</f>
        <v>0.68181818181818188</v>
      </c>
      <c r="I42" t="str">
        <f>I18</f>
        <v>MW</v>
      </c>
      <c r="J42" s="49">
        <f>F42*H42*12</f>
        <v>39428.181818181823</v>
      </c>
      <c r="L42" s="97">
        <f t="shared" si="0"/>
        <v>4819</v>
      </c>
      <c r="M42" s="15" t="s">
        <v>133</v>
      </c>
      <c r="N42" s="32">
        <f>MIN(N18/12,7.5*N12)</f>
        <v>0.68181818181818188</v>
      </c>
      <c r="O42" t="str">
        <f>O18</f>
        <v>MW</v>
      </c>
      <c r="P42" s="49">
        <f>L42*N42*12</f>
        <v>39428.181818181823</v>
      </c>
      <c r="R42" s="97">
        <f t="shared" si="2"/>
        <v>4819</v>
      </c>
      <c r="S42" s="15" t="s">
        <v>133</v>
      </c>
      <c r="T42" s="32">
        <f>MIN(T18/12,7.5*T12)</f>
        <v>3.75</v>
      </c>
      <c r="U42" t="str">
        <f>U18</f>
        <v>MW</v>
      </c>
      <c r="V42" s="49">
        <f>R42*T42*12</f>
        <v>216855</v>
      </c>
    </row>
    <row r="43" spans="1:22" x14ac:dyDescent="0.2">
      <c r="A43" s="14" t="s">
        <v>144</v>
      </c>
      <c r="B43" t="s">
        <v>145</v>
      </c>
      <c r="F43" s="78">
        <f>INDEX('Rates Lookup'!$C$10:$Y$10,1,MATCH($J$6,'Rates Lookup'!$C$1:$Y$1,0))</f>
        <v>2858</v>
      </c>
      <c r="G43" s="15" t="s">
        <v>133</v>
      </c>
      <c r="H43" s="32">
        <f>MAX(MIN(G18,17*H12)-(7.5*H12),0)</f>
        <v>0.86363636363636354</v>
      </c>
      <c r="I43" t="str">
        <f>I18</f>
        <v>MW</v>
      </c>
      <c r="J43" s="49">
        <f>F43*H43*12</f>
        <v>29619.272727272724</v>
      </c>
      <c r="L43" s="97">
        <f t="shared" si="0"/>
        <v>2858</v>
      </c>
      <c r="M43" s="15" t="s">
        <v>133</v>
      </c>
      <c r="N43" s="32">
        <f>MAX(MIN(N18/12,17*N12)-(7.5*N12),0)</f>
        <v>0.86363636363636354</v>
      </c>
      <c r="O43" t="str">
        <f>O18</f>
        <v>MW</v>
      </c>
      <c r="P43" s="49">
        <f>L43*N43*12</f>
        <v>29619.272727272724</v>
      </c>
      <c r="R43" s="97">
        <f t="shared" si="2"/>
        <v>2858</v>
      </c>
      <c r="S43" s="15" t="s">
        <v>133</v>
      </c>
      <c r="T43" s="32">
        <f>MAX(MIN(T18/12,17*T12)-(7.5*T12),0)</f>
        <v>4.75</v>
      </c>
      <c r="U43" t="str">
        <f>U18</f>
        <v>MW</v>
      </c>
      <c r="V43" s="49">
        <f>R43*T43*12</f>
        <v>162906</v>
      </c>
    </row>
    <row r="44" spans="1:22" x14ac:dyDescent="0.2">
      <c r="A44" s="14" t="s">
        <v>146</v>
      </c>
      <c r="B44" t="s">
        <v>147</v>
      </c>
      <c r="F44" s="78">
        <f>INDEX('Rates Lookup'!$C$11:$Y$11,1,MATCH($J$6,'Rates Lookup'!$C$1:$Y$1,0))</f>
        <v>1913</v>
      </c>
      <c r="G44" s="15" t="s">
        <v>133</v>
      </c>
      <c r="H44" s="32">
        <f>MAX(MIN(G18,40*H12)-(17*H12),0)</f>
        <v>2.0909090909090913</v>
      </c>
      <c r="I44" t="str">
        <f>I18</f>
        <v>MW</v>
      </c>
      <c r="J44" s="49">
        <f>F44*H44*12</f>
        <v>47998.909090909096</v>
      </c>
      <c r="L44" s="97">
        <f t="shared" si="0"/>
        <v>1913</v>
      </c>
      <c r="M44" s="15" t="s">
        <v>133</v>
      </c>
      <c r="N44" s="32">
        <f>MAX(MIN(N18/12,40*N12)-(17*N12),0)</f>
        <v>2.0909090909090913</v>
      </c>
      <c r="O44" t="str">
        <f>O18</f>
        <v>MW</v>
      </c>
      <c r="P44" s="49">
        <f>L44*N44*12</f>
        <v>47998.909090909096</v>
      </c>
      <c r="R44" s="97">
        <f t="shared" si="2"/>
        <v>1913</v>
      </c>
      <c r="S44" s="15" t="s">
        <v>133</v>
      </c>
      <c r="T44" s="32">
        <f>MAX(MIN(T18/12,40*T12)-(17*T12),0)</f>
        <v>11.5</v>
      </c>
      <c r="U44" t="str">
        <f>U18</f>
        <v>MW</v>
      </c>
      <c r="V44" s="49">
        <f>R44*T44*12</f>
        <v>263994</v>
      </c>
    </row>
    <row r="45" spans="1:22" x14ac:dyDescent="0.2">
      <c r="A45" s="20" t="s">
        <v>148</v>
      </c>
      <c r="B45" s="18" t="s">
        <v>149</v>
      </c>
      <c r="C45" s="18"/>
      <c r="D45" s="18"/>
      <c r="E45" s="18"/>
      <c r="F45" s="79">
        <f>INDEX('Rates Lookup'!$C$12:$Y$12,1,MATCH($J$6,'Rates Lookup'!$C$1:$Y$1,0))</f>
        <v>1178</v>
      </c>
      <c r="G45" s="19" t="s">
        <v>133</v>
      </c>
      <c r="H45" s="41">
        <f>MAX(G18-(40*H12),0)</f>
        <v>1.3636363636363633</v>
      </c>
      <c r="I45" s="18" t="str">
        <f>I18</f>
        <v>MW</v>
      </c>
      <c r="J45" s="52">
        <f>F45*H45*12</f>
        <v>19276.363636363632</v>
      </c>
      <c r="L45" s="99">
        <f t="shared" si="0"/>
        <v>1178</v>
      </c>
      <c r="M45" s="19" t="s">
        <v>133</v>
      </c>
      <c r="N45" s="41">
        <f>MAX(N18/12-(40*N12),0)</f>
        <v>1.3636363636363633</v>
      </c>
      <c r="O45" s="18" t="str">
        <f>O18</f>
        <v>MW</v>
      </c>
      <c r="P45" s="52">
        <f>L45*N45*12</f>
        <v>19276.363636363632</v>
      </c>
      <c r="R45" s="99">
        <f t="shared" si="2"/>
        <v>1178</v>
      </c>
      <c r="S45" s="19" t="s">
        <v>133</v>
      </c>
      <c r="T45" s="41">
        <f>MAX(T18/12-(40*T12),0)</f>
        <v>30</v>
      </c>
      <c r="U45" s="18" t="str">
        <f>U18</f>
        <v>MW</v>
      </c>
      <c r="V45" s="52">
        <f>R45*T45*12</f>
        <v>424080</v>
      </c>
    </row>
    <row r="46" spans="1:22" ht="12.75" customHeight="1" x14ac:dyDescent="0.2">
      <c r="A46" s="21" t="s">
        <v>150</v>
      </c>
      <c r="B46" s="22"/>
      <c r="C46" s="22"/>
      <c r="D46" s="22"/>
      <c r="E46" s="22"/>
      <c r="F46" s="23"/>
      <c r="G46" s="22"/>
      <c r="H46" s="44"/>
      <c r="I46" s="22"/>
      <c r="J46" s="55">
        <f>SUM(J35:J45)</f>
        <v>472289.12727272732</v>
      </c>
      <c r="L46" s="113" t="s">
        <v>150</v>
      </c>
      <c r="M46" s="22"/>
      <c r="N46" s="44"/>
      <c r="O46" s="22"/>
      <c r="P46" s="55">
        <f>SUM(P35:P45)</f>
        <v>472289.12727272732</v>
      </c>
      <c r="R46" s="113" t="s">
        <v>150</v>
      </c>
      <c r="S46" s="22"/>
      <c r="T46" s="44"/>
      <c r="U46" s="22"/>
      <c r="V46" s="55">
        <f>SUM(V35:V45)</f>
        <v>3047745</v>
      </c>
    </row>
    <row r="47" spans="1:22" ht="12.75" customHeight="1" x14ac:dyDescent="0.2">
      <c r="J47" s="6"/>
      <c r="L47" s="122"/>
      <c r="M47" s="122"/>
      <c r="N47" s="122"/>
      <c r="O47" s="122"/>
      <c r="P47" s="122"/>
      <c r="R47" s="122"/>
      <c r="S47" s="122"/>
      <c r="T47" s="122"/>
      <c r="U47" s="122"/>
      <c r="V47" s="122"/>
    </row>
    <row r="48" spans="1:22" x14ac:dyDescent="0.2">
      <c r="A48" s="4" t="s">
        <v>151</v>
      </c>
      <c r="C48" s="4"/>
      <c r="D48" s="4"/>
      <c r="E48" s="4"/>
      <c r="F48" s="4"/>
      <c r="G48" s="4"/>
      <c r="H48" s="37"/>
      <c r="I48" s="4"/>
      <c r="J48" s="8"/>
      <c r="L48" s="123"/>
      <c r="M48" s="123"/>
      <c r="N48" s="124"/>
      <c r="O48" s="123"/>
      <c r="P48" s="135"/>
      <c r="R48" s="123"/>
      <c r="S48" s="123"/>
      <c r="T48" s="124"/>
      <c r="U48" s="123"/>
      <c r="V48" s="135"/>
    </row>
    <row r="49" spans="1:22" x14ac:dyDescent="0.2">
      <c r="A49" s="9" t="s">
        <v>152</v>
      </c>
      <c r="B49" s="10" t="s">
        <v>110</v>
      </c>
      <c r="C49" s="10"/>
      <c r="D49" s="46" t="s">
        <v>153</v>
      </c>
      <c r="E49" s="56">
        <f>INDEX('Rates Lookup'!$C$19:$Y$19,1,MATCH($J$6,'Rates Lookup'!$C$1:$Y$1,0))</f>
        <v>7.1800000000000003E-2</v>
      </c>
      <c r="F49" s="47">
        <f>H20</f>
        <v>30</v>
      </c>
      <c r="G49" s="45" t="s">
        <v>119</v>
      </c>
      <c r="H49" s="42">
        <f>H17</f>
        <v>8760</v>
      </c>
      <c r="I49" s="10" t="str">
        <f>I17</f>
        <v>MWh</v>
      </c>
      <c r="J49" s="53">
        <f>E49*F49*H49</f>
        <v>18869.04</v>
      </c>
      <c r="L49" s="101">
        <f>F49</f>
        <v>30</v>
      </c>
      <c r="M49" s="45" t="s">
        <v>119</v>
      </c>
      <c r="N49" s="42">
        <f>N17</f>
        <v>8760</v>
      </c>
      <c r="O49" s="10" t="str">
        <f>O17</f>
        <v>MWh</v>
      </c>
      <c r="P49" s="53">
        <f>E49*L49*N49</f>
        <v>18869.04</v>
      </c>
      <c r="R49" s="101">
        <f>L49</f>
        <v>30</v>
      </c>
      <c r="S49" s="45" t="s">
        <v>119</v>
      </c>
      <c r="T49" s="42">
        <f>T17</f>
        <v>87600</v>
      </c>
      <c r="U49" s="10" t="str">
        <f>U17</f>
        <v>MWh</v>
      </c>
      <c r="V49" s="53">
        <f>E49*R49*T49</f>
        <v>188690.4</v>
      </c>
    </row>
    <row r="50" spans="1:22" x14ac:dyDescent="0.2">
      <c r="A50" s="4" t="s">
        <v>154</v>
      </c>
      <c r="C50" s="4"/>
      <c r="D50" s="4"/>
      <c r="E50" s="4"/>
      <c r="F50" s="4"/>
      <c r="G50" s="4"/>
      <c r="H50" s="37"/>
      <c r="I50" s="4"/>
      <c r="J50" s="8"/>
      <c r="L50" s="100"/>
      <c r="M50" s="4"/>
      <c r="N50" s="37"/>
      <c r="O50" s="4"/>
      <c r="P50" s="8"/>
      <c r="R50" s="100"/>
      <c r="S50" s="4"/>
      <c r="T50" s="37"/>
      <c r="U50" s="4"/>
      <c r="V50" s="8"/>
    </row>
    <row r="51" spans="1:22" x14ac:dyDescent="0.2">
      <c r="A51" s="9" t="s">
        <v>155</v>
      </c>
      <c r="B51" s="10" t="s">
        <v>110</v>
      </c>
      <c r="C51" s="10"/>
      <c r="D51" s="10"/>
      <c r="E51" s="10"/>
      <c r="F51" s="80">
        <f>INDEX('Rates Lookup'!$C$20:$Y$20,1,MATCH($J$6,'Rates Lookup'!$C$1:$Y$1,0))</f>
        <v>6.9000000000000006E-2</v>
      </c>
      <c r="G51" s="11" t="s">
        <v>119</v>
      </c>
      <c r="H51" s="42">
        <f>H17</f>
        <v>8760</v>
      </c>
      <c r="I51" s="10" t="str">
        <f>I17</f>
        <v>MWh</v>
      </c>
      <c r="J51" s="53">
        <f>F51*H51</f>
        <v>604.44000000000005</v>
      </c>
      <c r="L51" s="102">
        <f>F51</f>
        <v>6.9000000000000006E-2</v>
      </c>
      <c r="M51" s="11" t="s">
        <v>119</v>
      </c>
      <c r="N51" s="42">
        <f>N17</f>
        <v>8760</v>
      </c>
      <c r="O51" s="10" t="str">
        <f>O17</f>
        <v>MWh</v>
      </c>
      <c r="P51" s="53">
        <f>L51*N51</f>
        <v>604.44000000000005</v>
      </c>
      <c r="R51" s="102">
        <f>INDEX('Rates Lookup'!$C$20:$Y$20,1,MATCH($J$6,'Rates Lookup'!$C$1:$Y$1,0))</f>
        <v>6.9000000000000006E-2</v>
      </c>
      <c r="S51" s="11" t="s">
        <v>119</v>
      </c>
      <c r="T51" s="42">
        <f>T17</f>
        <v>87600</v>
      </c>
      <c r="U51" s="10" t="str">
        <f>U17</f>
        <v>MWh</v>
      </c>
      <c r="V51" s="53">
        <f>R51*T51</f>
        <v>6044.4000000000005</v>
      </c>
    </row>
    <row r="52" spans="1:22" x14ac:dyDescent="0.2">
      <c r="A52" s="4" t="s">
        <v>156</v>
      </c>
      <c r="C52" s="4"/>
      <c r="D52" s="4"/>
      <c r="E52" s="4"/>
      <c r="F52" s="4"/>
      <c r="G52" s="4"/>
      <c r="H52" s="37"/>
      <c r="I52" s="4"/>
      <c r="J52" s="8"/>
      <c r="L52" s="100"/>
      <c r="M52" s="4"/>
      <c r="N52" s="37"/>
      <c r="O52" s="4"/>
      <c r="P52" s="8"/>
      <c r="R52" s="100"/>
      <c r="S52" s="4"/>
      <c r="T52" s="37"/>
      <c r="U52" s="4"/>
      <c r="V52" s="8"/>
    </row>
    <row r="53" spans="1:22" x14ac:dyDescent="0.2">
      <c r="A53" s="9" t="s">
        <v>157</v>
      </c>
      <c r="B53" s="10" t="s">
        <v>110</v>
      </c>
      <c r="C53" s="10"/>
      <c r="D53" s="10"/>
      <c r="E53" s="10"/>
      <c r="F53" s="77">
        <f>INDEX('Rates Lookup'!$C$21:$Y$21,1,MATCH($J$6,'Rates Lookup'!$C$1:$Y$1,0))</f>
        <v>0.06</v>
      </c>
      <c r="G53" s="11" t="s">
        <v>119</v>
      </c>
      <c r="H53" s="42">
        <f>H17</f>
        <v>8760</v>
      </c>
      <c r="I53" s="10" t="str">
        <f>I17</f>
        <v>MWh</v>
      </c>
      <c r="J53" s="53">
        <f>F53*H53</f>
        <v>525.6</v>
      </c>
      <c r="L53" s="103">
        <f>F53</f>
        <v>0.06</v>
      </c>
      <c r="M53" s="11" t="s">
        <v>119</v>
      </c>
      <c r="N53" s="42">
        <f>N17</f>
        <v>8760</v>
      </c>
      <c r="O53" s="10" t="str">
        <f>O17</f>
        <v>MWh</v>
      </c>
      <c r="P53" s="53">
        <f>L53*N53</f>
        <v>525.6</v>
      </c>
      <c r="R53" s="103">
        <f>INDEX('Rates Lookup'!$C$21:$Y$21,1,MATCH($J$6,'Rates Lookup'!$C$1:$Y$1,0))</f>
        <v>0.06</v>
      </c>
      <c r="S53" s="11" t="s">
        <v>119</v>
      </c>
      <c r="T53" s="42">
        <f>T17</f>
        <v>87600</v>
      </c>
      <c r="U53" s="10" t="str">
        <f>U17</f>
        <v>MWh</v>
      </c>
      <c r="V53" s="53">
        <f>R53*T53</f>
        <v>5256</v>
      </c>
    </row>
    <row r="54" spans="1:22" x14ac:dyDescent="0.2">
      <c r="A54" s="4" t="s">
        <v>158</v>
      </c>
      <c r="B54" s="4"/>
      <c r="C54" s="4"/>
      <c r="D54" s="4"/>
      <c r="E54" s="4"/>
      <c r="F54" s="4"/>
      <c r="G54" s="4"/>
      <c r="H54" s="37"/>
      <c r="I54" s="4"/>
      <c r="J54" s="8"/>
      <c r="L54" s="100"/>
      <c r="M54" s="4"/>
      <c r="N54" s="37"/>
      <c r="O54" s="4"/>
      <c r="P54" s="8"/>
      <c r="R54" s="100"/>
      <c r="S54" s="4"/>
      <c r="T54" s="37"/>
      <c r="U54" s="4"/>
      <c r="V54" s="8"/>
    </row>
    <row r="55" spans="1:22" x14ac:dyDescent="0.2">
      <c r="A55" s="114" t="s">
        <v>159</v>
      </c>
      <c r="B55" s="12" t="s">
        <v>103</v>
      </c>
      <c r="C55" s="12"/>
      <c r="D55" s="12"/>
      <c r="E55" s="12"/>
      <c r="F55" s="81">
        <f>INDEX('Rates Lookup'!$C$22:$Y$22,1,MATCH($J$6,'Rates Lookup'!$C$1:$Y$1,0))</f>
        <v>52</v>
      </c>
      <c r="G55" s="13" t="s">
        <v>133</v>
      </c>
      <c r="H55" s="43">
        <f>H14</f>
        <v>60</v>
      </c>
      <c r="I55" s="12" t="str">
        <f>I14</f>
        <v>MW</v>
      </c>
      <c r="J55" s="54">
        <f>F55*H55</f>
        <v>3120</v>
      </c>
      <c r="L55" s="104">
        <f>F55</f>
        <v>52</v>
      </c>
      <c r="M55" s="13" t="s">
        <v>133</v>
      </c>
      <c r="N55" s="43">
        <f>N14</f>
        <v>60</v>
      </c>
      <c r="O55" s="12" t="str">
        <f>O14</f>
        <v>MW</v>
      </c>
      <c r="P55" s="54">
        <f>L55*N55</f>
        <v>3120</v>
      </c>
      <c r="R55" s="104">
        <f>INDEX('Rates Lookup'!$C$22:$Y$22,1,MATCH($J$6,'Rates Lookup'!$C$1:$Y$1,0))</f>
        <v>52</v>
      </c>
      <c r="S55" s="13" t="s">
        <v>133</v>
      </c>
      <c r="T55" s="43">
        <f>T14</f>
        <v>600</v>
      </c>
      <c r="U55" s="12" t="str">
        <f>U14</f>
        <v>MW</v>
      </c>
      <c r="V55" s="54">
        <f>R55*T55</f>
        <v>31200</v>
      </c>
    </row>
    <row r="56" spans="1:22" x14ac:dyDescent="0.2">
      <c r="A56" s="112" t="s">
        <v>160</v>
      </c>
      <c r="B56" s="18" t="s">
        <v>161</v>
      </c>
      <c r="C56" s="18"/>
      <c r="D56" s="18"/>
      <c r="E56" s="18"/>
      <c r="F56" s="79">
        <f>INDEX('Rates Lookup'!$C$24:$Y$24,1,MATCH($J$6,'Rates Lookup'!$C$1:$Y$1,0))</f>
        <v>400</v>
      </c>
      <c r="G56" s="19" t="s">
        <v>162</v>
      </c>
      <c r="H56" s="41">
        <f>H19</f>
        <v>0</v>
      </c>
      <c r="I56" s="18" t="str">
        <f>I19</f>
        <v>MVA</v>
      </c>
      <c r="J56" s="52">
        <f>F56*H56</f>
        <v>0</v>
      </c>
      <c r="L56" s="99">
        <f>F56</f>
        <v>400</v>
      </c>
      <c r="M56" s="19" t="s">
        <v>162</v>
      </c>
      <c r="N56" s="41">
        <f>N19</f>
        <v>0</v>
      </c>
      <c r="O56" s="18" t="str">
        <f>O19</f>
        <v>MVA</v>
      </c>
      <c r="P56" s="52">
        <f>L56*N56</f>
        <v>0</v>
      </c>
      <c r="R56" s="99">
        <f>INDEX('Rates Lookup'!$C$24:$Y$24,1,MATCH($J$6,'Rates Lookup'!$C$1:$Y$1,0))</f>
        <v>400</v>
      </c>
      <c r="S56" s="19" t="s">
        <v>162</v>
      </c>
      <c r="T56" s="41">
        <f>T19</f>
        <v>0</v>
      </c>
      <c r="U56" s="18" t="str">
        <f>U19</f>
        <v>MVA</v>
      </c>
      <c r="V56" s="52">
        <f>R56*T56</f>
        <v>0</v>
      </c>
    </row>
    <row r="57" spans="1:22" x14ac:dyDescent="0.2">
      <c r="A57" s="21" t="s">
        <v>163</v>
      </c>
      <c r="B57" s="22"/>
      <c r="C57" s="22"/>
      <c r="D57" s="22"/>
      <c r="E57" s="22"/>
      <c r="F57" s="23"/>
      <c r="G57" s="22"/>
      <c r="H57" s="44"/>
      <c r="I57" s="22"/>
      <c r="J57" s="55">
        <f>SUM(J46:J56)</f>
        <v>495408.20727272728</v>
      </c>
      <c r="L57" s="113" t="s">
        <v>163</v>
      </c>
      <c r="M57" s="22"/>
      <c r="N57" s="44"/>
      <c r="O57" s="22"/>
      <c r="P57" s="55">
        <f>SUM(P46:P56)</f>
        <v>495408.20727272728</v>
      </c>
      <c r="R57" s="113" t="s">
        <v>163</v>
      </c>
      <c r="S57" s="22"/>
      <c r="T57" s="44"/>
      <c r="U57" s="22"/>
      <c r="V57" s="55">
        <f>SUM(V46:V56)</f>
        <v>3278935.8</v>
      </c>
    </row>
    <row r="58" spans="1:22" ht="9" customHeight="1" x14ac:dyDescent="0.2">
      <c r="J58" s="6"/>
      <c r="P58" s="6"/>
      <c r="V58" s="6"/>
    </row>
    <row r="59" spans="1:22" x14ac:dyDescent="0.2">
      <c r="A59" s="24" t="s">
        <v>164</v>
      </c>
      <c r="B59" s="25"/>
      <c r="C59" s="25"/>
      <c r="D59" s="25"/>
      <c r="E59" s="25"/>
      <c r="F59" s="26"/>
      <c r="G59" s="25"/>
      <c r="H59" s="38"/>
      <c r="I59" s="25"/>
      <c r="J59" s="48"/>
      <c r="L59" s="98"/>
      <c r="M59" s="28"/>
      <c r="N59" s="40"/>
      <c r="O59" s="28"/>
      <c r="P59" s="51"/>
      <c r="R59" s="98"/>
      <c r="S59" s="28"/>
      <c r="T59" s="40"/>
      <c r="U59" s="28"/>
      <c r="V59" s="51"/>
    </row>
    <row r="60" spans="1:22" x14ac:dyDescent="0.2">
      <c r="A60" s="111"/>
      <c r="B60" t="s">
        <v>140</v>
      </c>
      <c r="F60" s="138">
        <f>INDEX('Rates Lookup'!$C$13:$Y$13,1,MATCH($J$6,'Rates Lookup'!$C$1:$Y$1,0))</f>
        <v>-11566</v>
      </c>
      <c r="G60" s="15" t="s">
        <v>141</v>
      </c>
      <c r="H60" s="34">
        <f>H12</f>
        <v>9.0909090909090912E-2</v>
      </c>
      <c r="J60" s="49">
        <f>IF(H$13="No",0,F60*H60)*12</f>
        <v>-12617.454545454546</v>
      </c>
      <c r="L60" s="139">
        <f>F60</f>
        <v>-11566</v>
      </c>
      <c r="M60" s="15" t="s">
        <v>141</v>
      </c>
      <c r="N60" s="34">
        <f>N12</f>
        <v>9.0909090909090912E-2</v>
      </c>
      <c r="P60" s="49">
        <f>IF($N$13="No",0,L60*N60*12)</f>
        <v>-12617.454545454546</v>
      </c>
      <c r="R60" s="139">
        <f>F60</f>
        <v>-11566</v>
      </c>
      <c r="S60" s="15" t="s">
        <v>141</v>
      </c>
      <c r="T60" s="34">
        <f>T12</f>
        <v>0.5</v>
      </c>
      <c r="V60" s="49">
        <f>IF($N$13="No",0,R60*T60*12)</f>
        <v>-69396</v>
      </c>
    </row>
    <row r="61" spans="1:22" x14ac:dyDescent="0.2">
      <c r="A61" s="111"/>
      <c r="B61" t="s">
        <v>143</v>
      </c>
      <c r="F61" s="138">
        <f>INDEX('Rates Lookup'!$C$14:$Y$14,1,MATCH($J$6,'Rates Lookup'!$C$1:$Y$1,0))</f>
        <v>-3807</v>
      </c>
      <c r="G61" s="15" t="s">
        <v>133</v>
      </c>
      <c r="H61" s="32">
        <f>H42</f>
        <v>0.68181818181818188</v>
      </c>
      <c r="I61" t="str">
        <f>I39</f>
        <v>MWh</v>
      </c>
      <c r="J61" s="49">
        <f>IF(H$13="No",0,F61*H61)*12</f>
        <v>-31148.181818181823</v>
      </c>
      <c r="L61" s="139">
        <f t="shared" ref="L61:L64" si="3">F61</f>
        <v>-3807</v>
      </c>
      <c r="M61" s="15" t="s">
        <v>133</v>
      </c>
      <c r="N61" s="32">
        <f>N42</f>
        <v>0.68181818181818188</v>
      </c>
      <c r="O61" t="str">
        <f>O39</f>
        <v>MWh</v>
      </c>
      <c r="P61" s="49">
        <f>IF($N$13="No",0,L61*N61*12)</f>
        <v>-31148.181818181823</v>
      </c>
      <c r="R61" s="139">
        <f t="shared" ref="R61:R64" si="4">F61</f>
        <v>-3807</v>
      </c>
      <c r="S61" s="15" t="s">
        <v>133</v>
      </c>
      <c r="T61" s="32">
        <f>T42</f>
        <v>3.75</v>
      </c>
      <c r="U61" t="str">
        <f>U39</f>
        <v>MWh</v>
      </c>
      <c r="V61" s="49">
        <f>IF($N$13="No",0,R61*T61*12)</f>
        <v>-171315</v>
      </c>
    </row>
    <row r="62" spans="1:22" x14ac:dyDescent="0.2">
      <c r="A62" s="111"/>
      <c r="B62" t="s">
        <v>145</v>
      </c>
      <c r="F62" s="138">
        <f>INDEX('Rates Lookup'!$C$15:$Y$15,1,MATCH($J$6,'Rates Lookup'!$C$1:$Y$1,0))</f>
        <v>-2258</v>
      </c>
      <c r="G62" s="15" t="s">
        <v>133</v>
      </c>
      <c r="H62" s="32">
        <f>H43</f>
        <v>0.86363636363636354</v>
      </c>
      <c r="I62" t="str">
        <f>I39</f>
        <v>MWh</v>
      </c>
      <c r="J62" s="49">
        <f>IF(H$13="No",0,F62*H62)*12</f>
        <v>-23401.090909090904</v>
      </c>
      <c r="L62" s="139">
        <f t="shared" si="3"/>
        <v>-2258</v>
      </c>
      <c r="M62" s="15" t="s">
        <v>133</v>
      </c>
      <c r="N62" s="32">
        <f>N43</f>
        <v>0.86363636363636354</v>
      </c>
      <c r="O62" t="str">
        <f>O39</f>
        <v>MWh</v>
      </c>
      <c r="P62" s="49">
        <f>IF($N$13="No",0,L62*N62*12)</f>
        <v>-23401.090909090904</v>
      </c>
      <c r="R62" s="139">
        <f t="shared" si="4"/>
        <v>-2258</v>
      </c>
      <c r="S62" s="15" t="s">
        <v>133</v>
      </c>
      <c r="T62" s="32">
        <f>T43</f>
        <v>4.75</v>
      </c>
      <c r="U62" t="str">
        <f>U39</f>
        <v>MWh</v>
      </c>
      <c r="V62" s="49">
        <f>IF($N$13="No",0,R62*T62*12)</f>
        <v>-128706</v>
      </c>
    </row>
    <row r="63" spans="1:22" x14ac:dyDescent="0.2">
      <c r="A63" s="111"/>
      <c r="B63" t="s">
        <v>147</v>
      </c>
      <c r="F63" s="138">
        <f>INDEX('Rates Lookup'!$C$16:$Y$16,1,MATCH($J$6,'Rates Lookup'!$C$1:$Y$1,0))</f>
        <v>-1511</v>
      </c>
      <c r="G63" s="15" t="s">
        <v>133</v>
      </c>
      <c r="H63" s="32">
        <f>H44</f>
        <v>2.0909090909090913</v>
      </c>
      <c r="I63" t="str">
        <f>I39</f>
        <v>MWh</v>
      </c>
      <c r="J63" s="49">
        <f>IF(H$13="No",0,F63*H63)*12</f>
        <v>-37912.363636363647</v>
      </c>
      <c r="L63" s="139">
        <f t="shared" si="3"/>
        <v>-1511</v>
      </c>
      <c r="M63" s="15" t="s">
        <v>133</v>
      </c>
      <c r="N63" s="32">
        <f>N44</f>
        <v>2.0909090909090913</v>
      </c>
      <c r="O63" t="str">
        <f>O39</f>
        <v>MWh</v>
      </c>
      <c r="P63" s="49">
        <f>IF($N$13="No",0,L63*N63*12)</f>
        <v>-37912.363636363647</v>
      </c>
      <c r="R63" s="139">
        <f t="shared" si="4"/>
        <v>-1511</v>
      </c>
      <c r="S63" s="15" t="s">
        <v>133</v>
      </c>
      <c r="T63" s="32">
        <f>T44</f>
        <v>11.5</v>
      </c>
      <c r="U63" t="str">
        <f>U39</f>
        <v>MWh</v>
      </c>
      <c r="V63" s="49">
        <f>IF($N$13="No",0,R63*T63*12)</f>
        <v>-208518</v>
      </c>
    </row>
    <row r="64" spans="1:22" x14ac:dyDescent="0.2">
      <c r="A64" s="112"/>
      <c r="B64" s="18" t="s">
        <v>149</v>
      </c>
      <c r="C64" s="18"/>
      <c r="D64" s="18"/>
      <c r="E64" s="18"/>
      <c r="F64" s="138">
        <f>INDEX('Rates Lookup'!$C$17:$Y$17,1,MATCH($J$6,'Rates Lookup'!$C$1:$Y$1,0))</f>
        <v>-1178</v>
      </c>
      <c r="G64" s="19" t="s">
        <v>133</v>
      </c>
      <c r="H64" s="41">
        <f>H45</f>
        <v>1.3636363636363633</v>
      </c>
      <c r="I64" s="18" t="str">
        <f>I39</f>
        <v>MWh</v>
      </c>
      <c r="J64" s="52">
        <f>IF(H$13="No",0,F64*H64)*12</f>
        <v>-19276.363636363632</v>
      </c>
      <c r="L64" s="140">
        <f t="shared" si="3"/>
        <v>-1178</v>
      </c>
      <c r="M64" s="19" t="s">
        <v>133</v>
      </c>
      <c r="N64" s="41">
        <f>N45</f>
        <v>1.3636363636363633</v>
      </c>
      <c r="O64" s="18" t="str">
        <f>O39</f>
        <v>MWh</v>
      </c>
      <c r="P64" s="52">
        <f>IF($N$13="No",0,L64*N64*12)</f>
        <v>-19276.363636363632</v>
      </c>
      <c r="R64" s="140">
        <f t="shared" si="4"/>
        <v>-1178</v>
      </c>
      <c r="S64" s="19" t="s">
        <v>133</v>
      </c>
      <c r="T64" s="41">
        <f>T45</f>
        <v>30</v>
      </c>
      <c r="U64" s="18" t="str">
        <f>U39</f>
        <v>MWh</v>
      </c>
      <c r="V64" s="52">
        <f>IF($N$13="No",0,R64*T64*12)</f>
        <v>-424080</v>
      </c>
    </row>
    <row r="65" spans="1:22" x14ac:dyDescent="0.2">
      <c r="A65" s="21" t="s">
        <v>165</v>
      </c>
      <c r="B65" s="22"/>
      <c r="C65" s="22"/>
      <c r="D65" s="22"/>
      <c r="E65" s="22"/>
      <c r="F65" s="23"/>
      <c r="G65" s="22"/>
      <c r="H65" s="44"/>
      <c r="I65" s="22"/>
      <c r="J65" s="55">
        <f>SUM(J60:J64)</f>
        <v>-124355.45454545454</v>
      </c>
      <c r="L65" s="113" t="s">
        <v>165</v>
      </c>
      <c r="M65" s="22"/>
      <c r="N65" s="44"/>
      <c r="O65" s="22"/>
      <c r="P65" s="55">
        <f>SUM(P60:P64)</f>
        <v>-124355.45454545454</v>
      </c>
      <c r="R65" s="113" t="s">
        <v>165</v>
      </c>
      <c r="S65" s="22"/>
      <c r="T65" s="44"/>
      <c r="U65" s="22"/>
      <c r="V65" s="55">
        <f>SUM(V60:V64)</f>
        <v>-1002015</v>
      </c>
    </row>
    <row r="66" spans="1:22" ht="9" customHeight="1" x14ac:dyDescent="0.2">
      <c r="J66" s="6"/>
      <c r="P66" s="6"/>
      <c r="V66" s="6"/>
    </row>
    <row r="67" spans="1:22" x14ac:dyDescent="0.2">
      <c r="A67" s="21" t="s">
        <v>166</v>
      </c>
      <c r="B67" s="22"/>
      <c r="C67" s="22"/>
      <c r="D67" s="22"/>
      <c r="E67" s="22"/>
      <c r="F67" s="22"/>
      <c r="G67" s="22"/>
      <c r="H67" s="22"/>
      <c r="I67" s="22"/>
      <c r="J67" s="55">
        <f>SUM(J57,J65)</f>
        <v>371052.75272727275</v>
      </c>
      <c r="L67" s="113" t="s">
        <v>166</v>
      </c>
      <c r="M67" s="22"/>
      <c r="N67" s="44"/>
      <c r="O67" s="22"/>
      <c r="P67" s="55">
        <f>SUM(P57,P65)</f>
        <v>371052.75272727275</v>
      </c>
      <c r="R67" s="113" t="s">
        <v>166</v>
      </c>
      <c r="S67" s="22"/>
      <c r="T67" s="44"/>
      <c r="U67" s="22"/>
      <c r="V67" s="55">
        <f>SUM(V57,V65)</f>
        <v>2276920.7999999998</v>
      </c>
    </row>
    <row r="68" spans="1:22" ht="9" customHeight="1" x14ac:dyDescent="0.2">
      <c r="J68" s="6"/>
      <c r="P68" s="6"/>
      <c r="V68" s="6"/>
    </row>
    <row r="69" spans="1:22" x14ac:dyDescent="0.2">
      <c r="J69" s="6"/>
      <c r="L69" s="315" t="s">
        <v>82</v>
      </c>
      <c r="M69" s="315"/>
      <c r="N69" s="315" t="s">
        <v>127</v>
      </c>
      <c r="O69" s="315"/>
      <c r="P69" s="35" t="s">
        <v>128</v>
      </c>
      <c r="V69" s="6"/>
    </row>
    <row r="70" spans="1:22" x14ac:dyDescent="0.2">
      <c r="J70" s="6"/>
      <c r="L70" s="157" t="s">
        <v>167</v>
      </c>
      <c r="M70" s="158"/>
      <c r="N70" s="158"/>
      <c r="O70" s="158"/>
      <c r="P70" s="159"/>
      <c r="V70" s="6"/>
    </row>
    <row r="71" spans="1:22" x14ac:dyDescent="0.2">
      <c r="A71" s="27" t="s">
        <v>131</v>
      </c>
      <c r="B71" s="28"/>
      <c r="C71" s="28"/>
      <c r="D71" s="28"/>
      <c r="E71" s="28"/>
      <c r="J71" s="6"/>
      <c r="L71" s="170"/>
      <c r="M71" s="136"/>
      <c r="N71" s="137"/>
      <c r="O71" s="136"/>
      <c r="P71" s="171"/>
      <c r="V71" s="6"/>
    </row>
    <row r="72" spans="1:22" x14ac:dyDescent="0.2">
      <c r="A72" s="241"/>
      <c r="B72" s="36" t="s">
        <v>168</v>
      </c>
      <c r="J72" s="6"/>
      <c r="L72" s="97">
        <f>INDEX('Rates Lookup'!$C$26:$Y$26,1,MATCH($P$6,'Rates Lookup'!$C$1:$Y$1,0))</f>
        <v>3.472</v>
      </c>
      <c r="M72" s="17" t="s">
        <v>119</v>
      </c>
      <c r="N72" s="39">
        <f>N$26</f>
        <v>78840</v>
      </c>
      <c r="O72" s="16" t="str">
        <f>O$26</f>
        <v>MWh</v>
      </c>
      <c r="P72" s="50">
        <f>L72*N72</f>
        <v>273732.47999999998</v>
      </c>
      <c r="V72" s="6"/>
    </row>
    <row r="73" spans="1:22" x14ac:dyDescent="0.2">
      <c r="A73" s="115"/>
      <c r="B73" s="242" t="s">
        <v>169</v>
      </c>
      <c r="C73" s="16"/>
      <c r="D73" s="16"/>
      <c r="E73" s="16"/>
      <c r="J73" s="6"/>
      <c r="L73" s="97">
        <f>INDEX('Rates Lookup'!$C$5:$Y$5,1,MATCH($P$6,'Rates Lookup'!$C$1:$Y$1,0))</f>
        <v>1.22</v>
      </c>
      <c r="M73" s="17" t="s">
        <v>119</v>
      </c>
      <c r="N73" s="39">
        <f>N$26</f>
        <v>78840</v>
      </c>
      <c r="O73" s="16" t="str">
        <f>O$26</f>
        <v>MWh</v>
      </c>
      <c r="P73" s="50">
        <f>L73*N73</f>
        <v>96184.8</v>
      </c>
      <c r="V73" s="6"/>
    </row>
    <row r="74" spans="1:22" x14ac:dyDescent="0.2">
      <c r="A74" s="27" t="s">
        <v>136</v>
      </c>
      <c r="B74" s="28"/>
      <c r="C74" s="28"/>
      <c r="D74" s="28"/>
      <c r="E74" s="28"/>
      <c r="J74" s="6"/>
      <c r="L74" s="100"/>
      <c r="M74" s="4"/>
      <c r="N74" s="37"/>
      <c r="O74" s="4"/>
      <c r="P74" s="172"/>
      <c r="V74" s="6"/>
    </row>
    <row r="75" spans="1:22" x14ac:dyDescent="0.2">
      <c r="A75" s="14"/>
      <c r="B75" s="36" t="s">
        <v>168</v>
      </c>
      <c r="J75" s="6"/>
      <c r="L75" s="97">
        <f>INDEX('Rates Lookup'!$C$27:$Y$27,1,MATCH($P$6,'Rates Lookup'!$C$1:$Y$1,0))</f>
        <v>1.5820000000000001</v>
      </c>
      <c r="M75" s="17" t="s">
        <v>119</v>
      </c>
      <c r="N75" s="39">
        <f>N$26</f>
        <v>78840</v>
      </c>
      <c r="O75" s="16" t="str">
        <f>O$26</f>
        <v>MWh</v>
      </c>
      <c r="P75" s="50">
        <f>L75*N75</f>
        <v>124724.88</v>
      </c>
      <c r="V75" s="6"/>
    </row>
    <row r="76" spans="1:22" x14ac:dyDescent="0.2">
      <c r="A76" s="115"/>
      <c r="B76" s="242" t="s">
        <v>169</v>
      </c>
      <c r="C76" s="16"/>
      <c r="D76" s="16"/>
      <c r="E76" s="16"/>
      <c r="J76" s="6"/>
      <c r="L76" s="97">
        <f>INDEX('Rates Lookup'!$C$7:$Y$7,1,MATCH($P$6,'Rates Lookup'!$C$1:$Y$1,0))</f>
        <v>0.92</v>
      </c>
      <c r="M76" s="17" t="s">
        <v>119</v>
      </c>
      <c r="N76" s="39">
        <f>N$26</f>
        <v>78840</v>
      </c>
      <c r="O76" s="16" t="str">
        <f>O$26</f>
        <v>MWh</v>
      </c>
      <c r="P76" s="50">
        <f>L76*N76</f>
        <v>72532.800000000003</v>
      </c>
      <c r="V76" s="6"/>
    </row>
    <row r="77" spans="1:22" x14ac:dyDescent="0.2">
      <c r="J77" s="6"/>
      <c r="L77" s="100"/>
      <c r="M77" s="4"/>
      <c r="N77" s="37"/>
      <c r="O77" s="4"/>
      <c r="P77" s="172"/>
      <c r="V77" s="6"/>
    </row>
    <row r="78" spans="1:22" ht="12.75" customHeight="1" x14ac:dyDescent="0.2">
      <c r="J78" s="6"/>
      <c r="L78" s="113" t="s">
        <v>150</v>
      </c>
      <c r="M78" s="22"/>
      <c r="N78" s="44"/>
      <c r="O78" s="22"/>
      <c r="P78" s="55">
        <f>SUM(P72:P76)</f>
        <v>567174.96</v>
      </c>
      <c r="V78" s="6"/>
    </row>
    <row r="79" spans="1:22" ht="12.75" customHeight="1" x14ac:dyDescent="0.2">
      <c r="J79" s="6"/>
      <c r="L79" s="6"/>
      <c r="M79" s="6"/>
      <c r="N79" s="6"/>
      <c r="O79" s="6"/>
      <c r="P79" s="6"/>
      <c r="V79" s="6"/>
    </row>
    <row r="80" spans="1:22" x14ac:dyDescent="0.2">
      <c r="A80" s="4" t="s">
        <v>151</v>
      </c>
      <c r="C80" s="4"/>
      <c r="D80" s="4"/>
      <c r="E80" s="4"/>
      <c r="J80" s="6"/>
      <c r="L80" s="6"/>
      <c r="M80" s="6"/>
      <c r="N80" s="6"/>
      <c r="O80" s="6"/>
      <c r="P80" s="6"/>
      <c r="V80" s="6"/>
    </row>
    <row r="81" spans="1:24" x14ac:dyDescent="0.2">
      <c r="A81" s="9" t="s">
        <v>152</v>
      </c>
      <c r="B81" s="10" t="s">
        <v>110</v>
      </c>
      <c r="C81" s="10"/>
      <c r="D81" s="46" t="s">
        <v>153</v>
      </c>
      <c r="E81" s="56">
        <f>INDEX('Rates Lookup'!$C$19:$Y$19,1,MATCH($J$6,'Rates Lookup'!$C$1:$Y$1,0))</f>
        <v>7.1800000000000003E-2</v>
      </c>
      <c r="J81" s="6"/>
      <c r="L81" s="101">
        <f>F49</f>
        <v>30</v>
      </c>
      <c r="M81" s="45" t="s">
        <v>119</v>
      </c>
      <c r="N81" s="42">
        <f>N26</f>
        <v>78840</v>
      </c>
      <c r="O81" s="10" t="str">
        <f>O26</f>
        <v>MWh</v>
      </c>
      <c r="P81" s="53">
        <f>E81*L81*N81</f>
        <v>169821.36</v>
      </c>
      <c r="V81" s="6"/>
      <c r="X81" s="160"/>
    </row>
    <row r="82" spans="1:24" x14ac:dyDescent="0.2">
      <c r="A82" s="4" t="s">
        <v>154</v>
      </c>
      <c r="C82" s="4"/>
      <c r="D82" s="4"/>
      <c r="E82" s="4"/>
      <c r="J82" s="6"/>
      <c r="L82" s="6"/>
      <c r="M82" s="6"/>
      <c r="N82" s="6"/>
      <c r="O82" s="6"/>
      <c r="P82" s="6"/>
      <c r="V82" s="6"/>
    </row>
    <row r="83" spans="1:24" x14ac:dyDescent="0.2">
      <c r="A83" s="9" t="s">
        <v>155</v>
      </c>
      <c r="B83" s="10" t="s">
        <v>110</v>
      </c>
      <c r="C83" s="10"/>
      <c r="D83" s="10"/>
      <c r="E83" s="10"/>
      <c r="J83" s="6"/>
      <c r="L83" s="6"/>
      <c r="M83" s="6"/>
      <c r="N83" s="6"/>
      <c r="O83" s="6"/>
      <c r="P83" s="6"/>
      <c r="V83" s="6"/>
    </row>
    <row r="84" spans="1:24" x14ac:dyDescent="0.2">
      <c r="A84" s="4" t="s">
        <v>156</v>
      </c>
      <c r="C84" s="4"/>
      <c r="D84" s="4"/>
      <c r="E84" s="4"/>
      <c r="J84" s="6"/>
      <c r="L84" s="6"/>
      <c r="M84" s="6"/>
      <c r="N84" s="6"/>
      <c r="O84" s="6"/>
      <c r="P84" s="6"/>
      <c r="V84" s="6"/>
    </row>
    <row r="85" spans="1:24" x14ac:dyDescent="0.2">
      <c r="A85" s="9" t="s">
        <v>157</v>
      </c>
      <c r="B85" s="10" t="s">
        <v>110</v>
      </c>
      <c r="C85" s="10"/>
      <c r="D85" s="10"/>
      <c r="E85" s="10"/>
      <c r="J85" s="6"/>
      <c r="L85" s="6"/>
      <c r="M85" s="6"/>
      <c r="N85" s="6"/>
      <c r="O85" s="6"/>
      <c r="P85" s="6"/>
      <c r="V85" s="6"/>
    </row>
    <row r="86" spans="1:24" x14ac:dyDescent="0.2">
      <c r="A86" s="4" t="s">
        <v>158</v>
      </c>
      <c r="B86" s="4"/>
      <c r="C86" s="4"/>
      <c r="D86" s="4"/>
      <c r="E86" s="4"/>
      <c r="J86" s="6"/>
      <c r="L86" s="6"/>
      <c r="M86" s="6"/>
      <c r="N86" s="6"/>
      <c r="O86" s="6"/>
      <c r="P86" s="6"/>
      <c r="V86" s="6"/>
    </row>
    <row r="87" spans="1:24" x14ac:dyDescent="0.2">
      <c r="A87" s="114" t="s">
        <v>159</v>
      </c>
      <c r="B87" s="12" t="s">
        <v>103</v>
      </c>
      <c r="C87" s="12"/>
      <c r="D87" s="12"/>
      <c r="E87" s="12"/>
      <c r="J87" s="6"/>
      <c r="L87" s="6"/>
      <c r="M87" s="6"/>
      <c r="N87" s="6"/>
      <c r="O87" s="6"/>
      <c r="P87" s="6"/>
      <c r="V87" s="6"/>
    </row>
    <row r="88" spans="1:24" x14ac:dyDescent="0.2">
      <c r="A88" s="4" t="s">
        <v>170</v>
      </c>
      <c r="C88" s="4"/>
      <c r="D88" s="4"/>
      <c r="E88" s="4"/>
      <c r="J88" s="6"/>
      <c r="L88" s="6"/>
      <c r="M88" s="6"/>
      <c r="N88" s="6"/>
      <c r="O88" s="6"/>
      <c r="P88" s="6"/>
      <c r="V88" s="6"/>
    </row>
    <row r="89" spans="1:24" x14ac:dyDescent="0.2">
      <c r="A89" s="9" t="s">
        <v>152</v>
      </c>
      <c r="B89" s="10" t="s">
        <v>110</v>
      </c>
      <c r="C89" s="10"/>
      <c r="D89" s="46" t="s">
        <v>153</v>
      </c>
      <c r="E89" s="56">
        <f>N29</f>
        <v>0.02</v>
      </c>
      <c r="J89" s="6"/>
      <c r="L89" s="101">
        <f>L49</f>
        <v>30</v>
      </c>
      <c r="M89" s="45" t="s">
        <v>119</v>
      </c>
      <c r="N89" s="42">
        <f>N26</f>
        <v>78840</v>
      </c>
      <c r="O89" s="10" t="str">
        <f>O26</f>
        <v>MWh</v>
      </c>
      <c r="P89" s="53">
        <f>E89*L89*N89</f>
        <v>47304</v>
      </c>
      <c r="V89" s="6"/>
    </row>
    <row r="90" spans="1:24" x14ac:dyDescent="0.2">
      <c r="A90" s="21"/>
      <c r="B90" s="22"/>
      <c r="C90" s="22"/>
      <c r="D90" s="22"/>
      <c r="E90" s="22"/>
      <c r="J90" s="6"/>
      <c r="L90" s="113" t="s">
        <v>171</v>
      </c>
      <c r="M90" s="22"/>
      <c r="N90" s="44"/>
      <c r="O90" s="22"/>
      <c r="P90" s="55">
        <f>SUM(P78,P81,P89)</f>
        <v>784300.32</v>
      </c>
      <c r="V90" s="6"/>
    </row>
    <row r="91" spans="1:24" ht="9" customHeight="1" x14ac:dyDescent="0.2">
      <c r="J91" s="6"/>
      <c r="P91" s="6"/>
      <c r="V91" s="6"/>
    </row>
    <row r="92" spans="1:24" x14ac:dyDescent="0.2">
      <c r="A92" s="179" t="s">
        <v>172</v>
      </c>
      <c r="B92" s="154"/>
      <c r="C92" s="154"/>
      <c r="D92" s="154"/>
      <c r="E92" s="154"/>
      <c r="F92" s="180"/>
      <c r="G92" s="154"/>
      <c r="H92" s="155"/>
      <c r="I92" s="154"/>
      <c r="J92" s="156">
        <f>J57+J65</f>
        <v>371052.75272727275</v>
      </c>
      <c r="L92" s="153" t="s">
        <v>172</v>
      </c>
      <c r="M92" s="154"/>
      <c r="N92" s="155"/>
      <c r="O92" s="154"/>
      <c r="P92" s="156">
        <f>SUM(P67,P90)</f>
        <v>1155353.0727272728</v>
      </c>
      <c r="R92" s="153" t="s">
        <v>172</v>
      </c>
      <c r="S92" s="154"/>
      <c r="T92" s="155"/>
      <c r="U92" s="154"/>
      <c r="V92" s="156">
        <f>SUM(V67,V90)</f>
        <v>2276920.7999999998</v>
      </c>
    </row>
    <row r="93" spans="1:24" ht="12.75" customHeight="1" x14ac:dyDescent="0.2">
      <c r="J93" s="6"/>
      <c r="L93" s="173" t="s">
        <v>173</v>
      </c>
      <c r="M93" s="141"/>
      <c r="N93" s="141"/>
      <c r="O93" s="141"/>
      <c r="P93" s="174">
        <f>P92/J92-1</f>
        <v>2.1137164843416971</v>
      </c>
      <c r="R93" s="173" t="s">
        <v>173</v>
      </c>
      <c r="S93" s="141"/>
      <c r="T93" s="141"/>
      <c r="U93" s="141"/>
      <c r="V93" s="174">
        <f>V92/P92-1</f>
        <v>0.97075755779590955</v>
      </c>
    </row>
    <row r="94" spans="1:24" ht="9" customHeight="1" x14ac:dyDescent="0.2">
      <c r="J94" s="6"/>
      <c r="P94" s="6"/>
      <c r="V94" s="6"/>
    </row>
    <row r="95" spans="1:24" x14ac:dyDescent="0.2">
      <c r="A95" s="181" t="s">
        <v>174</v>
      </c>
      <c r="B95" s="182"/>
      <c r="C95" s="182"/>
      <c r="D95" s="182"/>
      <c r="E95" s="182"/>
      <c r="F95" s="183">
        <f>H20</f>
        <v>30</v>
      </c>
      <c r="G95" s="182" t="str">
        <f>I20</f>
        <v>/MWh</v>
      </c>
      <c r="H95" s="184">
        <f>H17</f>
        <v>8760</v>
      </c>
      <c r="I95" s="185" t="str">
        <f>I17</f>
        <v>MWh</v>
      </c>
      <c r="J95" s="186">
        <f>F95*H95</f>
        <v>262800</v>
      </c>
      <c r="L95" s="146" t="s">
        <v>174</v>
      </c>
      <c r="M95" s="147"/>
      <c r="N95" s="148">
        <f>N17+N26</f>
        <v>87600</v>
      </c>
      <c r="O95" s="149" t="s">
        <v>111</v>
      </c>
      <c r="P95" s="150">
        <f>N95*$F95</f>
        <v>2628000</v>
      </c>
      <c r="R95" s="146" t="s">
        <v>174</v>
      </c>
      <c r="S95" s="147"/>
      <c r="T95" s="148">
        <f>T17</f>
        <v>87600</v>
      </c>
      <c r="U95" s="149" t="s">
        <v>111</v>
      </c>
      <c r="V95" s="150">
        <f>T95*$F95</f>
        <v>2628000</v>
      </c>
    </row>
    <row r="96" spans="1:24" ht="9" customHeight="1" x14ac:dyDescent="0.2">
      <c r="J96" s="6"/>
      <c r="P96" s="6"/>
      <c r="V96" s="6"/>
    </row>
    <row r="97" spans="1:22" x14ac:dyDescent="0.2">
      <c r="A97" s="175" t="s">
        <v>175</v>
      </c>
      <c r="B97" s="175"/>
      <c r="C97" s="175"/>
      <c r="D97" s="175"/>
      <c r="E97" s="175"/>
      <c r="F97" s="175"/>
      <c r="G97" s="175"/>
      <c r="H97" s="175"/>
      <c r="I97" s="175"/>
      <c r="J97" s="176">
        <f>SUM(J92,J95)</f>
        <v>633852.75272727269</v>
      </c>
      <c r="L97" s="175" t="s">
        <v>175</v>
      </c>
      <c r="M97" s="175"/>
      <c r="N97" s="175"/>
      <c r="O97" s="175"/>
      <c r="P97" s="176">
        <f>SUM(P92,P95)</f>
        <v>3783353.0727272728</v>
      </c>
      <c r="R97" s="175" t="s">
        <v>175</v>
      </c>
      <c r="S97" s="175"/>
      <c r="T97" s="175"/>
      <c r="U97" s="175"/>
      <c r="V97" s="176">
        <f>SUM(V92,V95)</f>
        <v>4904920.8</v>
      </c>
    </row>
    <row r="98" spans="1:22" ht="12.75" customHeight="1" x14ac:dyDescent="0.2">
      <c r="J98" s="6"/>
      <c r="L98" s="116" t="s">
        <v>176</v>
      </c>
      <c r="M98" s="132"/>
      <c r="N98" s="132"/>
      <c r="O98" s="132"/>
      <c r="P98" s="117">
        <f>P97/J97-1</f>
        <v>4.9688201344060943</v>
      </c>
      <c r="R98" s="175" t="s">
        <v>176</v>
      </c>
      <c r="S98" s="177"/>
      <c r="T98" s="177"/>
      <c r="U98" s="177"/>
      <c r="V98" s="178">
        <f>V97/P97-1</f>
        <v>0.29644807283720742</v>
      </c>
    </row>
    <row r="99" spans="1:22" ht="13.5" thickBot="1" x14ac:dyDescent="0.25"/>
    <row r="100" spans="1:22" x14ac:dyDescent="0.2">
      <c r="L100" s="187" t="s">
        <v>177</v>
      </c>
      <c r="M100" s="188"/>
      <c r="N100" s="188"/>
      <c r="O100" s="188"/>
      <c r="P100" s="189">
        <f>P92-J92</f>
        <v>784300.32000000007</v>
      </c>
      <c r="R100" s="187" t="s">
        <v>178</v>
      </c>
      <c r="S100" s="188"/>
      <c r="T100" s="188"/>
      <c r="U100" s="188"/>
      <c r="V100" s="189">
        <f>P92-V92</f>
        <v>-1121567.7272727271</v>
      </c>
    </row>
    <row r="101" spans="1:22" x14ac:dyDescent="0.2">
      <c r="L101" s="190"/>
      <c r="M101" s="191"/>
      <c r="N101" s="191"/>
      <c r="O101" s="191"/>
      <c r="P101" s="192"/>
      <c r="R101" s="190"/>
      <c r="S101" s="191"/>
      <c r="T101" s="191"/>
      <c r="U101" s="191"/>
      <c r="V101" s="192"/>
    </row>
    <row r="102" spans="1:22" x14ac:dyDescent="0.2">
      <c r="L102" s="190" t="s">
        <v>179</v>
      </c>
      <c r="M102" s="191"/>
      <c r="N102" s="191"/>
      <c r="O102" s="191"/>
      <c r="P102" s="193">
        <f>SUM(P35:P36,P72:P73)-SUM(J35:J36)</f>
        <v>369917.27999999997</v>
      </c>
      <c r="R102" s="190" t="s">
        <v>179</v>
      </c>
      <c r="S102" s="191"/>
      <c r="T102" s="191"/>
      <c r="U102" s="191"/>
      <c r="V102" s="193">
        <f>SUM(P35:P36,P72:P73)-SUM(V35:V36)</f>
        <v>404520.48</v>
      </c>
    </row>
    <row r="103" spans="1:22" x14ac:dyDescent="0.2">
      <c r="L103" s="190" t="s">
        <v>180</v>
      </c>
      <c r="M103" s="191"/>
      <c r="N103" s="191"/>
      <c r="O103" s="191"/>
      <c r="P103" s="193">
        <f>SUM(P38:P39,P75:P76)-SUM(J38:J39)</f>
        <v>197257.68</v>
      </c>
      <c r="R103" s="190" t="s">
        <v>180</v>
      </c>
      <c r="S103" s="191"/>
      <c r="T103" s="191"/>
      <c r="U103" s="191"/>
      <c r="V103" s="193">
        <f>SUM(P38:P39,P75:P76)-SUM(V38:V39)</f>
        <v>-1409415.12</v>
      </c>
    </row>
    <row r="104" spans="1:22" x14ac:dyDescent="0.2">
      <c r="L104" s="190" t="s">
        <v>181</v>
      </c>
      <c r="M104" s="191"/>
      <c r="N104" s="191"/>
      <c r="O104" s="191"/>
      <c r="P104" s="193">
        <f>SUM(P41:P45,P60:P64)-SUM($J41:$J45,J60:J64)</f>
        <v>0</v>
      </c>
      <c r="R104" s="190" t="s">
        <v>181</v>
      </c>
      <c r="S104" s="191"/>
      <c r="T104" s="191"/>
      <c r="U104" s="191"/>
      <c r="V104" s="193">
        <f>SUM($P41:$P45,P60:P64)-SUM(V41:V45,V60:V64)</f>
        <v>-125726.72727272728</v>
      </c>
    </row>
    <row r="105" spans="1:22" x14ac:dyDescent="0.2">
      <c r="L105" s="190" t="s">
        <v>182</v>
      </c>
      <c r="M105" s="191"/>
      <c r="N105" s="191"/>
      <c r="O105" s="191"/>
      <c r="P105" s="193">
        <f>SUM(P49,P51,P53,P55,P56,P81,P89)-SUM(J49,J51,J53,J55,J56)</f>
        <v>217125.36</v>
      </c>
      <c r="R105" s="190" t="s">
        <v>182</v>
      </c>
      <c r="S105" s="191"/>
      <c r="T105" s="191"/>
      <c r="U105" s="191"/>
      <c r="V105" s="193">
        <f>SUM(P49,P51,P53,P55,P56,P81,P89)-SUM(V49,V51,V53,V55,V56)</f>
        <v>9053.6399999999849</v>
      </c>
    </row>
    <row r="106" spans="1:22" ht="13.5" thickBot="1" x14ac:dyDescent="0.25">
      <c r="L106" s="194"/>
      <c r="M106" s="195"/>
      <c r="N106" s="195"/>
      <c r="O106" s="195"/>
      <c r="P106" s="196">
        <f>SUM(P102:P105)</f>
        <v>784300.32</v>
      </c>
      <c r="R106" s="194"/>
      <c r="S106" s="195"/>
      <c r="T106" s="195"/>
      <c r="U106" s="195"/>
      <c r="V106" s="196">
        <f>SUM(V102:V105)</f>
        <v>-1121567.7272727275</v>
      </c>
    </row>
  </sheetData>
  <mergeCells count="20">
    <mergeCell ref="R9:V9"/>
    <mergeCell ref="R10:V10"/>
    <mergeCell ref="L69:M69"/>
    <mergeCell ref="N69:O69"/>
    <mergeCell ref="T11:U11"/>
    <mergeCell ref="R31:S31"/>
    <mergeCell ref="T31:U31"/>
    <mergeCell ref="N11:O11"/>
    <mergeCell ref="L31:M31"/>
    <mergeCell ref="N31:O31"/>
    <mergeCell ref="H24:I24"/>
    <mergeCell ref="N24:O24"/>
    <mergeCell ref="A32:J32"/>
    <mergeCell ref="C1:E1"/>
    <mergeCell ref="H11:I11"/>
    <mergeCell ref="A31:E31"/>
    <mergeCell ref="F31:G31"/>
    <mergeCell ref="H31:I31"/>
    <mergeCell ref="L10:P10"/>
    <mergeCell ref="L9:P9"/>
  </mergeCells>
  <conditionalFormatting sqref="A59:J64">
    <cfRule type="expression" dxfId="9" priority="40">
      <formula>$H$13="No"</formula>
    </cfRule>
  </conditionalFormatting>
  <conditionalFormatting sqref="L60:L64">
    <cfRule type="expression" dxfId="8" priority="41">
      <formula>$H$13="No"</formula>
    </cfRule>
  </conditionalFormatting>
  <conditionalFormatting sqref="L59:P59 M60:P64">
    <cfRule type="expression" dxfId="7" priority="43">
      <formula>$N$13="No"</formula>
    </cfRule>
  </conditionalFormatting>
  <conditionalFormatting sqref="R60:R64">
    <cfRule type="expression" dxfId="6" priority="35">
      <formula>$H$13="No"</formula>
    </cfRule>
  </conditionalFormatting>
  <conditionalFormatting sqref="R59:V59 S60:V64">
    <cfRule type="expression" dxfId="5" priority="37">
      <formula>$N$13="No"</formula>
    </cfRule>
  </conditionalFormatting>
  <dataValidations count="7">
    <dataValidation allowBlank="1" showInputMessage="1" sqref="L9 F4 O6:P6 R9 N6:N8 U6:V6 C1:H3 T6:T8" xr:uid="{ABF17287-0030-4FC4-9A3E-9F201D6831F2}"/>
    <dataValidation allowBlank="1" showErrorMessage="1" sqref="N13 H13 T13" xr:uid="{DD70ED01-A8ED-4532-86EA-CA5FAC17FEB1}"/>
    <dataValidation allowBlank="1" showInputMessage="1" showErrorMessage="1" promptTitle="Reference" prompt="For more information, see the definition of billing capacity in the Consolidated Authoritative Documents Glossary." sqref="G17 G26 S17" xr:uid="{622CE35F-D175-4AA4-9FE0-78CACED05C54}"/>
    <dataValidation allowBlank="1" showInputMessage="1" showErrorMessage="1" promptTitle="Reference" prompt="For more information, see subsection 7(b) of Rate DTS: Demand Transmission Service in the ISO tariff." sqref="G19 M19 S19" xr:uid="{4913B3AB-24EE-4356-8510-E631DDF5F4A5}"/>
    <dataValidation allowBlank="1" showInputMessage="1" showErrorMessage="1" promptTitle="Reference" prompt="For more information, see the definition of pool price in the Consolidated Authoritative Documents Glossary." sqref="M27" xr:uid="{25A0E591-8201-4F21-97FC-474C3059FE23}"/>
    <dataValidation allowBlank="1" showInputMessage="1" showErrorMessage="1" promptTitle="Reference" prompt="For more information, see subsection 4(2) of Rate DTS: Demand Transmission Service in the ISO tariff." sqref="M28:M29" xr:uid="{1881EBAC-345B-4E42-A3EA-5D6EF8341CFD}"/>
    <dataValidation allowBlank="1" showErrorMessage="1" promptTitle="Reference" prompt="For more information, see the definition of metered demand in the Consolidated Authoritative Documents Glossary." sqref="G12:G21 G25:G29 H17 M25 M18:M21 M12:M16 S12:S21" xr:uid="{CB457A98-DB27-4996-8BE2-2227D291BB3B}"/>
  </dataValidations>
  <printOptions horizontalCentered="1"/>
  <pageMargins left="0.25" right="0.25" top="0.5" bottom="0.5" header="0.3" footer="0.3"/>
  <pageSetup scale="37" orientation="portrait" r:id="rId1"/>
  <headerFooter alignWithMargins="0">
    <oddFooter>&amp;L&amp;8Attachment to Bill Estimator for 2021 Tariff (AESO ID #2021-015T)
Filename: &amp;F — Page&amp;P of &amp;N&amp;R&amp;8Confidentiality: Proprietary When Completed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36ECBE-BBC8-40B0-A5AD-0ADBF1E6B783}">
          <x14:formula1>
            <xm:f>'Rates Lookup'!$H$1:$J$1</xm:f>
          </x14:formula1>
          <xm:sqref>J6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B764-8B34-424A-AC8D-25D163F69C24}">
  <sheetPr>
    <tabColor theme="2" tint="-9.9978637043366805E-2"/>
    <pageSetUpPr fitToPage="1"/>
  </sheetPr>
  <dimension ref="A1:V106"/>
  <sheetViews>
    <sheetView showGridLines="0" zoomScale="85" zoomScaleNormal="85" workbookViewId="0"/>
  </sheetViews>
  <sheetFormatPr defaultColWidth="9.5703125" defaultRowHeight="12.75" x14ac:dyDescent="0.2"/>
  <cols>
    <col min="1" max="1" width="7.42578125" customWidth="1"/>
    <col min="2" max="2" width="8.42578125" customWidth="1"/>
    <col min="3" max="3" width="26.5703125" customWidth="1"/>
    <col min="4" max="4" width="8.5703125" customWidth="1"/>
    <col min="5" max="5" width="10.5703125" customWidth="1"/>
    <col min="6" max="6" width="11.5703125" customWidth="1"/>
    <col min="7" max="7" width="15.7109375" customWidth="1"/>
    <col min="8" max="9" width="10.42578125" customWidth="1"/>
    <col min="10" max="10" width="15.7109375" customWidth="1"/>
    <col min="12" max="12" width="12.28515625" customWidth="1"/>
    <col min="13" max="13" width="17" customWidth="1"/>
    <col min="14" max="15" width="10.42578125" customWidth="1"/>
    <col min="16" max="16" width="15.140625" customWidth="1"/>
    <col min="18" max="18" width="12.28515625" customWidth="1"/>
    <col min="19" max="19" width="17" customWidth="1"/>
    <col min="20" max="21" width="10.42578125" customWidth="1"/>
    <col min="22" max="22" width="15.140625" customWidth="1"/>
  </cols>
  <sheetData>
    <row r="1" spans="1:22" ht="18.75" x14ac:dyDescent="0.4">
      <c r="A1" t="s">
        <v>34</v>
      </c>
      <c r="C1" s="312">
        <f ca="1">TODAY()</f>
        <v>45616</v>
      </c>
      <c r="D1" s="312"/>
      <c r="E1" s="312"/>
      <c r="F1" s="162"/>
      <c r="G1" s="162"/>
      <c r="H1" s="162"/>
      <c r="L1" s="144" t="s">
        <v>85</v>
      </c>
      <c r="M1" s="144"/>
      <c r="N1" s="144"/>
      <c r="O1" s="144"/>
      <c r="P1" s="145">
        <f>$P$98</f>
        <v>0.18184421491659375</v>
      </c>
      <c r="R1" s="246" t="s">
        <v>85</v>
      </c>
      <c r="S1" s="246"/>
      <c r="T1" s="246"/>
      <c r="U1" s="246"/>
      <c r="V1" s="247">
        <f>$V$98</f>
        <v>0.12474196091671774</v>
      </c>
    </row>
    <row r="2" spans="1:22" ht="18.75" x14ac:dyDescent="0.4">
      <c r="C2" s="162"/>
      <c r="D2" s="162"/>
      <c r="E2" s="162"/>
      <c r="F2" s="162"/>
      <c r="G2" s="162"/>
      <c r="H2" s="162"/>
      <c r="L2" s="151" t="s">
        <v>86</v>
      </c>
      <c r="M2" s="151"/>
      <c r="N2" s="151"/>
      <c r="O2" s="151"/>
      <c r="P2" s="152">
        <f>$P$93</f>
        <v>3.3349333482759702E-2</v>
      </c>
      <c r="R2" s="248" t="s">
        <v>86</v>
      </c>
      <c r="S2" s="248"/>
      <c r="T2" s="248"/>
      <c r="U2" s="248"/>
      <c r="V2" s="249">
        <f>$V$93</f>
        <v>0.45350589996733648</v>
      </c>
    </row>
    <row r="3" spans="1:22" x14ac:dyDescent="0.2">
      <c r="C3" s="162"/>
      <c r="D3" s="162"/>
      <c r="E3" s="162"/>
      <c r="F3" s="162"/>
      <c r="G3" s="162"/>
      <c r="H3" s="162"/>
    </row>
    <row r="4" spans="1:22" x14ac:dyDescent="0.2">
      <c r="G4" s="30"/>
      <c r="H4" s="109"/>
    </row>
    <row r="5" spans="1:22" s="3" customFormat="1" ht="7.15" customHeight="1" x14ac:dyDescent="0.15"/>
    <row r="6" spans="1:22" x14ac:dyDescent="0.2">
      <c r="I6" s="95" t="s">
        <v>87</v>
      </c>
      <c r="J6" s="108">
        <v>2024</v>
      </c>
      <c r="O6" s="31" t="s">
        <v>88</v>
      </c>
      <c r="P6" s="240" t="s">
        <v>89</v>
      </c>
      <c r="U6" s="31" t="s">
        <v>88</v>
      </c>
      <c r="V6" s="240" t="s">
        <v>90</v>
      </c>
    </row>
    <row r="7" spans="1:22" x14ac:dyDescent="0.2">
      <c r="I7" s="31"/>
      <c r="J7" s="108"/>
    </row>
    <row r="9" spans="1:22" x14ac:dyDescent="0.2">
      <c r="F9" s="244"/>
      <c r="G9" s="244" t="s">
        <v>54</v>
      </c>
      <c r="H9" s="244"/>
      <c r="I9" s="244"/>
      <c r="J9" s="110"/>
      <c r="L9" s="313" t="s">
        <v>57</v>
      </c>
      <c r="M9" s="313"/>
      <c r="N9" s="313"/>
      <c r="O9" s="313"/>
      <c r="P9" s="313"/>
      <c r="R9" s="314" t="s">
        <v>91</v>
      </c>
      <c r="S9" s="314"/>
      <c r="T9" s="314"/>
      <c r="U9" s="314"/>
      <c r="V9" s="314"/>
    </row>
    <row r="10" spans="1:22" x14ac:dyDescent="0.2">
      <c r="E10" s="4" t="s">
        <v>92</v>
      </c>
      <c r="F10" s="244"/>
      <c r="G10" s="244" t="s">
        <v>80</v>
      </c>
      <c r="H10" s="244"/>
      <c r="I10" s="244"/>
      <c r="J10" s="7"/>
      <c r="K10" s="4"/>
      <c r="L10" s="313" t="s">
        <v>93</v>
      </c>
      <c r="M10" s="313"/>
      <c r="N10" s="313"/>
      <c r="O10" s="313"/>
      <c r="P10" s="313"/>
      <c r="R10" s="314" t="s">
        <v>94</v>
      </c>
      <c r="S10" s="314"/>
      <c r="T10" s="314"/>
      <c r="U10" s="314"/>
      <c r="V10" s="314"/>
    </row>
    <row r="11" spans="1:22" x14ac:dyDescent="0.2">
      <c r="B11" s="162" t="s">
        <v>95</v>
      </c>
      <c r="C11" s="5"/>
      <c r="D11" s="5"/>
      <c r="E11" s="5"/>
      <c r="F11" s="5" t="s">
        <v>96</v>
      </c>
      <c r="G11" s="5" t="s">
        <v>97</v>
      </c>
      <c r="H11" s="307" t="s">
        <v>98</v>
      </c>
      <c r="I11" s="307"/>
      <c r="K11" s="5"/>
      <c r="L11" s="5" t="s">
        <v>96</v>
      </c>
      <c r="M11" s="5" t="s">
        <v>97</v>
      </c>
      <c r="N11" s="307" t="s">
        <v>98</v>
      </c>
      <c r="O11" s="307"/>
      <c r="Q11" s="5"/>
      <c r="R11" s="5" t="s">
        <v>96</v>
      </c>
      <c r="S11" s="5" t="s">
        <v>97</v>
      </c>
      <c r="T11" s="307" t="s">
        <v>98</v>
      </c>
      <c r="U11" s="307"/>
    </row>
    <row r="12" spans="1:22" x14ac:dyDescent="0.2">
      <c r="B12" s="31" t="s">
        <v>99</v>
      </c>
      <c r="C12" t="s">
        <v>100</v>
      </c>
      <c r="G12" s="7"/>
      <c r="H12" s="34">
        <f>'With Rate DTS Reduction'!$G$12</f>
        <v>1</v>
      </c>
      <c r="M12" s="7"/>
      <c r="N12" s="34">
        <f>M16/SUM(M16+G22)</f>
        <v>1</v>
      </c>
      <c r="S12" s="7"/>
      <c r="T12" s="34">
        <f>N12</f>
        <v>1</v>
      </c>
    </row>
    <row r="13" spans="1:22" x14ac:dyDescent="0.2">
      <c r="B13" s="31" t="s">
        <v>101</v>
      </c>
      <c r="C13" t="s">
        <v>42</v>
      </c>
      <c r="G13" s="7"/>
      <c r="H13" s="108" t="str">
        <f>'With Rate DTS Reduction'!$D$12</f>
        <v>No</v>
      </c>
      <c r="M13" s="7"/>
      <c r="N13" s="34" t="str">
        <f>H13</f>
        <v>No</v>
      </c>
      <c r="S13" s="7"/>
      <c r="T13" s="34" t="str">
        <f>N13</f>
        <v>No</v>
      </c>
    </row>
    <row r="14" spans="1:22" x14ac:dyDescent="0.2">
      <c r="B14" s="31" t="s">
        <v>102</v>
      </c>
      <c r="C14" t="s">
        <v>103</v>
      </c>
      <c r="G14" s="32">
        <f>G16</f>
        <v>120</v>
      </c>
      <c r="H14" s="32">
        <f>G14*12</f>
        <v>1440</v>
      </c>
      <c r="I14" t="s">
        <v>104</v>
      </c>
      <c r="L14" s="36"/>
      <c r="M14" s="125">
        <f>M16</f>
        <v>10</v>
      </c>
      <c r="N14" s="32">
        <f>M14*12</f>
        <v>120</v>
      </c>
      <c r="O14" t="s">
        <v>104</v>
      </c>
      <c r="S14" s="32">
        <f>S16</f>
        <v>120</v>
      </c>
      <c r="T14" s="32">
        <f>S14*12</f>
        <v>1440</v>
      </c>
      <c r="U14" t="s">
        <v>104</v>
      </c>
    </row>
    <row r="15" spans="1:22" x14ac:dyDescent="0.2">
      <c r="B15" s="31" t="s">
        <v>105</v>
      </c>
      <c r="C15" s="36" t="s">
        <v>106</v>
      </c>
      <c r="F15" s="106">
        <f>H15/H14</f>
        <v>1.9999999999999997E-2</v>
      </c>
      <c r="G15" s="125">
        <f>'With Rate DTS Reduction'!$M$12</f>
        <v>2.4</v>
      </c>
      <c r="H15" s="32">
        <f>G15*12</f>
        <v>28.799999999999997</v>
      </c>
      <c r="I15" t="s">
        <v>104</v>
      </c>
      <c r="L15" s="36"/>
      <c r="M15" s="125">
        <f>'With Rate DTS Reduction'!$M$13</f>
        <v>5</v>
      </c>
      <c r="N15" s="32">
        <f>M15*12</f>
        <v>60</v>
      </c>
      <c r="O15" s="36" t="s">
        <v>104</v>
      </c>
      <c r="R15" s="106">
        <f>'With Rate DTS Reduction'!F$39</f>
        <v>0.3</v>
      </c>
      <c r="S15" s="125">
        <f>S16*R15</f>
        <v>36</v>
      </c>
      <c r="T15" s="32">
        <f>S15*12</f>
        <v>432</v>
      </c>
      <c r="U15" s="36" t="s">
        <v>104</v>
      </c>
    </row>
    <row r="16" spans="1:22" x14ac:dyDescent="0.2">
      <c r="B16" s="95" t="s">
        <v>107</v>
      </c>
      <c r="C16" t="s">
        <v>108</v>
      </c>
      <c r="G16" s="125">
        <f>'With Rate DTS Reduction'!$C$12</f>
        <v>120</v>
      </c>
      <c r="H16" s="107">
        <f>G16</f>
        <v>120</v>
      </c>
      <c r="I16" t="s">
        <v>104</v>
      </c>
      <c r="L16" s="36"/>
      <c r="M16" s="125">
        <f>'With Rate DTS Reduction'!$C$13</f>
        <v>10</v>
      </c>
      <c r="N16" s="32">
        <f>M16*12</f>
        <v>120</v>
      </c>
      <c r="O16" t="s">
        <v>104</v>
      </c>
      <c r="S16" s="125">
        <f>G16</f>
        <v>120</v>
      </c>
      <c r="T16" s="107">
        <f>S16*12</f>
        <v>1440</v>
      </c>
      <c r="U16" t="s">
        <v>104</v>
      </c>
    </row>
    <row r="17" spans="1:22" x14ac:dyDescent="0.2">
      <c r="B17" s="95" t="s">
        <v>109</v>
      </c>
      <c r="C17" t="s">
        <v>110</v>
      </c>
      <c r="F17" s="231">
        <f>H17/(8760*G14)</f>
        <v>0.71999999999999986</v>
      </c>
      <c r="G17" s="33">
        <f>H17/12</f>
        <v>63071.999999999993</v>
      </c>
      <c r="H17" s="125">
        <f>'With Rate DTS Reduction'!$O$12</f>
        <v>756863.99999999988</v>
      </c>
      <c r="I17" t="s">
        <v>111</v>
      </c>
      <c r="L17" s="235">
        <f>'With Rate DTS Reduction'!$I$13</f>
        <v>0.7</v>
      </c>
      <c r="M17" s="234"/>
      <c r="N17" s="33">
        <f>MIN(M16*8760*L17,H17)</f>
        <v>61319.999999999993</v>
      </c>
      <c r="O17" t="s">
        <v>111</v>
      </c>
      <c r="R17" s="231">
        <f>'With Rate DTS Reduction'!$I$14</f>
        <v>0</v>
      </c>
      <c r="S17" s="33"/>
      <c r="T17" s="33">
        <f>N17+N26</f>
        <v>946080</v>
      </c>
      <c r="U17" t="s">
        <v>111</v>
      </c>
    </row>
    <row r="18" spans="1:22" x14ac:dyDescent="0.2">
      <c r="B18" s="95" t="s">
        <v>112</v>
      </c>
      <c r="C18" t="s">
        <v>113</v>
      </c>
      <c r="G18" s="32">
        <f>H18/12</f>
        <v>120</v>
      </c>
      <c r="H18" s="32">
        <f>MAX(H14,H16*90%)</f>
        <v>1440</v>
      </c>
      <c r="I18" t="s">
        <v>104</v>
      </c>
      <c r="L18" s="36"/>
      <c r="M18" s="125"/>
      <c r="N18" s="32">
        <f>MAX(N14,N16*90%)</f>
        <v>120</v>
      </c>
      <c r="O18" t="s">
        <v>104</v>
      </c>
      <c r="S18" s="32"/>
      <c r="T18" s="32">
        <f>MAX(T14,T16*90%)</f>
        <v>1440</v>
      </c>
      <c r="U18" t="s">
        <v>104</v>
      </c>
    </row>
    <row r="19" spans="1:22" x14ac:dyDescent="0.2">
      <c r="B19" s="95" t="s">
        <v>114</v>
      </c>
      <c r="C19" s="36" t="s">
        <v>115</v>
      </c>
      <c r="G19" s="82"/>
      <c r="H19" s="32">
        <v>0</v>
      </c>
      <c r="I19" t="s">
        <v>116</v>
      </c>
      <c r="L19" s="36"/>
      <c r="M19" s="82"/>
      <c r="N19" s="32">
        <f>H19</f>
        <v>0</v>
      </c>
      <c r="O19" t="s">
        <v>116</v>
      </c>
      <c r="S19" s="82"/>
      <c r="T19" s="32">
        <v>0</v>
      </c>
      <c r="U19" t="s">
        <v>116</v>
      </c>
    </row>
    <row r="20" spans="1:22" x14ac:dyDescent="0.2">
      <c r="B20" s="31" t="s">
        <v>117</v>
      </c>
      <c r="C20" t="s">
        <v>118</v>
      </c>
      <c r="G20" s="7"/>
      <c r="H20" s="83">
        <f>'With Rate DTS Reduction'!$K$12</f>
        <v>30</v>
      </c>
      <c r="I20" s="15" t="s">
        <v>119</v>
      </c>
      <c r="L20" s="36"/>
      <c r="M20" s="82"/>
      <c r="N20" s="83">
        <f>'With Rate DTS Reduction'!$K$13</f>
        <v>30</v>
      </c>
      <c r="O20" s="15" t="s">
        <v>119</v>
      </c>
      <c r="S20" s="7"/>
      <c r="T20" s="83">
        <f>N20</f>
        <v>30</v>
      </c>
      <c r="U20" s="15" t="s">
        <v>119</v>
      </c>
    </row>
    <row r="21" spans="1:22" x14ac:dyDescent="0.2">
      <c r="B21" s="31" t="s">
        <v>120</v>
      </c>
      <c r="C21" t="s">
        <v>48</v>
      </c>
      <c r="G21" s="7"/>
      <c r="H21" s="83">
        <f>'With Rate DTS Reduction'!$J$12</f>
        <v>80</v>
      </c>
      <c r="I21" s="15" t="s">
        <v>119</v>
      </c>
      <c r="L21" s="36"/>
      <c r="M21" s="82"/>
      <c r="N21" s="83">
        <f>'With Rate DTS Reduction'!$J$13</f>
        <v>80</v>
      </c>
      <c r="O21" s="15" t="s">
        <v>119</v>
      </c>
      <c r="S21" s="7"/>
      <c r="T21" s="83">
        <f>N21</f>
        <v>80</v>
      </c>
      <c r="U21" s="15" t="s">
        <v>119</v>
      </c>
    </row>
    <row r="22" spans="1:22" x14ac:dyDescent="0.2">
      <c r="B22" s="95" t="s">
        <v>121</v>
      </c>
      <c r="C22" s="36" t="s">
        <v>122</v>
      </c>
      <c r="G22" s="234">
        <f>'With Rate DTS Reduction'!$F$12</f>
        <v>0</v>
      </c>
      <c r="H22" s="32"/>
      <c r="I22" t="s">
        <v>104</v>
      </c>
      <c r="L22" s="36"/>
      <c r="M22" s="234">
        <f>'With Rate DTS Reduction'!$F$13</f>
        <v>0</v>
      </c>
      <c r="N22" s="32"/>
      <c r="O22" t="s">
        <v>104</v>
      </c>
      <c r="S22" s="234">
        <f>'With Rate DTS Reduction'!$F$14</f>
        <v>0</v>
      </c>
      <c r="T22" s="32"/>
      <c r="U22" t="s">
        <v>104</v>
      </c>
    </row>
    <row r="24" spans="1:22" x14ac:dyDescent="0.2">
      <c r="B24" s="162" t="s">
        <v>123</v>
      </c>
      <c r="C24" s="5"/>
      <c r="D24" s="5"/>
      <c r="E24" s="5"/>
      <c r="F24" s="5" t="s">
        <v>96</v>
      </c>
      <c r="G24" s="5" t="s">
        <v>97</v>
      </c>
      <c r="H24" s="307" t="s">
        <v>124</v>
      </c>
      <c r="I24" s="307"/>
      <c r="K24" s="5"/>
      <c r="L24" s="245" t="s">
        <v>96</v>
      </c>
      <c r="M24" s="245" t="s">
        <v>97</v>
      </c>
      <c r="N24" s="308" t="s">
        <v>124</v>
      </c>
      <c r="O24" s="308"/>
      <c r="P24" s="141"/>
      <c r="Q24" s="5"/>
    </row>
    <row r="25" spans="1:22" x14ac:dyDescent="0.2">
      <c r="A25" s="36"/>
      <c r="B25" s="31" t="s">
        <v>99</v>
      </c>
      <c r="C25" t="s">
        <v>108</v>
      </c>
      <c r="G25" s="105"/>
      <c r="H25" s="107"/>
      <c r="M25" s="32">
        <f>'With Rate DTS Reduction'!$E$13</f>
        <v>110</v>
      </c>
      <c r="N25" s="32">
        <f>M25*12</f>
        <v>1320</v>
      </c>
      <c r="O25" s="36" t="s">
        <v>104</v>
      </c>
    </row>
    <row r="26" spans="1:22" x14ac:dyDescent="0.2">
      <c r="B26" s="31" t="s">
        <v>101</v>
      </c>
      <c r="C26" t="s">
        <v>110</v>
      </c>
      <c r="F26" s="106"/>
      <c r="G26" s="33"/>
      <c r="H26" s="33"/>
      <c r="N26" s="33">
        <f>'With Rate DTS Reduction'!$O$13-N17</f>
        <v>884760</v>
      </c>
      <c r="O26" t="s">
        <v>111</v>
      </c>
    </row>
    <row r="27" spans="1:22" x14ac:dyDescent="0.2">
      <c r="B27" s="31" t="s">
        <v>105</v>
      </c>
      <c r="C27" t="s">
        <v>118</v>
      </c>
      <c r="G27" s="7"/>
      <c r="H27" s="83"/>
      <c r="I27" s="15"/>
      <c r="M27" s="7"/>
      <c r="N27" s="83">
        <f>N20</f>
        <v>30</v>
      </c>
      <c r="O27" s="15" t="s">
        <v>119</v>
      </c>
    </row>
    <row r="28" spans="1:22" x14ac:dyDescent="0.2">
      <c r="B28" s="95" t="s">
        <v>107</v>
      </c>
      <c r="C28" t="s">
        <v>48</v>
      </c>
      <c r="G28" s="7"/>
      <c r="H28" s="83"/>
      <c r="I28" s="15"/>
      <c r="M28" s="7"/>
      <c r="N28" s="83">
        <f>N21</f>
        <v>80</v>
      </c>
      <c r="O28" s="15" t="s">
        <v>119</v>
      </c>
    </row>
    <row r="29" spans="1:22" x14ac:dyDescent="0.2">
      <c r="B29" s="95" t="s">
        <v>109</v>
      </c>
      <c r="C29" s="36" t="s">
        <v>125</v>
      </c>
      <c r="G29" s="7"/>
      <c r="H29" s="83"/>
      <c r="I29" s="15"/>
      <c r="L29" s="235">
        <f>'With Rate DTS Reduction'!$L$13</f>
        <v>0.02</v>
      </c>
      <c r="M29" s="7"/>
      <c r="N29" s="84">
        <f>L29</f>
        <v>0.02</v>
      </c>
      <c r="O29" s="15"/>
    </row>
    <row r="30" spans="1:22" x14ac:dyDescent="0.2">
      <c r="B30" s="95"/>
    </row>
    <row r="31" spans="1:22" x14ac:dyDescent="0.2">
      <c r="A31" s="307" t="s">
        <v>126</v>
      </c>
      <c r="B31" s="307"/>
      <c r="C31" s="307"/>
      <c r="D31" s="307"/>
      <c r="E31" s="307"/>
      <c r="F31" s="307" t="s">
        <v>82</v>
      </c>
      <c r="G31" s="307"/>
      <c r="H31" s="307" t="s">
        <v>127</v>
      </c>
      <c r="I31" s="307"/>
      <c r="J31" s="35" t="s">
        <v>128</v>
      </c>
      <c r="L31" s="315" t="s">
        <v>82</v>
      </c>
      <c r="M31" s="315"/>
      <c r="N31" s="315" t="s">
        <v>127</v>
      </c>
      <c r="O31" s="315"/>
      <c r="P31" s="35" t="s">
        <v>128</v>
      </c>
      <c r="R31" s="315" t="s">
        <v>82</v>
      </c>
      <c r="S31" s="315"/>
      <c r="T31" s="315" t="s">
        <v>127</v>
      </c>
      <c r="U31" s="315"/>
      <c r="V31" s="35" t="s">
        <v>128</v>
      </c>
    </row>
    <row r="32" spans="1:22" x14ac:dyDescent="0.2">
      <c r="A32" s="309" t="s">
        <v>129</v>
      </c>
      <c r="B32" s="310"/>
      <c r="C32" s="310"/>
      <c r="D32" s="310"/>
      <c r="E32" s="310"/>
      <c r="F32" s="310"/>
      <c r="G32" s="310"/>
      <c r="H32" s="310"/>
      <c r="I32" s="310"/>
      <c r="J32" s="311"/>
      <c r="L32" s="165" t="s">
        <v>129</v>
      </c>
      <c r="M32" s="166"/>
      <c r="N32" s="166"/>
      <c r="O32" s="166"/>
      <c r="P32" s="167"/>
      <c r="R32" s="165" t="s">
        <v>129</v>
      </c>
      <c r="S32" s="166"/>
      <c r="T32" s="166"/>
      <c r="U32" s="166"/>
      <c r="V32" s="167"/>
    </row>
    <row r="33" spans="1:22" x14ac:dyDescent="0.2">
      <c r="A33" s="4" t="s">
        <v>130</v>
      </c>
      <c r="C33" s="4"/>
      <c r="D33" s="4"/>
      <c r="E33" s="4"/>
      <c r="F33" s="4"/>
      <c r="G33" s="4"/>
      <c r="H33" s="37"/>
      <c r="I33" s="4"/>
      <c r="J33" s="8"/>
      <c r="L33" s="4"/>
      <c r="M33" s="4"/>
      <c r="N33" s="37"/>
      <c r="O33" s="4"/>
      <c r="P33" s="8"/>
      <c r="R33" s="4"/>
      <c r="S33" s="4"/>
      <c r="T33" s="37"/>
      <c r="U33" s="4"/>
      <c r="V33" s="8"/>
    </row>
    <row r="34" spans="1:22" x14ac:dyDescent="0.2">
      <c r="A34" s="24" t="s">
        <v>131</v>
      </c>
      <c r="B34" s="25"/>
      <c r="C34" s="25"/>
      <c r="D34" s="25"/>
      <c r="E34" s="25"/>
      <c r="F34" s="26"/>
      <c r="G34" s="25"/>
      <c r="H34" s="38"/>
      <c r="I34" s="25"/>
      <c r="J34" s="48"/>
      <c r="L34" s="96"/>
      <c r="M34" s="25"/>
      <c r="N34" s="38"/>
      <c r="O34" s="25"/>
      <c r="P34" s="48"/>
      <c r="R34" s="96"/>
      <c r="S34" s="25"/>
      <c r="T34" s="38"/>
      <c r="U34" s="25"/>
      <c r="V34" s="48"/>
    </row>
    <row r="35" spans="1:22" x14ac:dyDescent="0.2">
      <c r="A35" s="14" t="s">
        <v>132</v>
      </c>
      <c r="B35" t="s">
        <v>106</v>
      </c>
      <c r="F35" s="78">
        <f>INDEX('Rates Lookup'!$C$4:$Y$4,1,MATCH($J$6,'Rates Lookup'!$C$1:$Y$1,0))</f>
        <v>10899</v>
      </c>
      <c r="G35" s="15" t="s">
        <v>133</v>
      </c>
      <c r="H35" s="32">
        <f>H15</f>
        <v>28.799999999999997</v>
      </c>
      <c r="I35" t="str">
        <f>I15</f>
        <v>MW</v>
      </c>
      <c r="J35" s="49">
        <f>F35*H35</f>
        <v>313891.19999999995</v>
      </c>
      <c r="L35" s="97">
        <f>F35</f>
        <v>10899</v>
      </c>
      <c r="M35" s="15" t="s">
        <v>133</v>
      </c>
      <c r="N35" s="32">
        <f>N15</f>
        <v>60</v>
      </c>
      <c r="O35" t="str">
        <f>O15</f>
        <v>MW</v>
      </c>
      <c r="P35" s="49">
        <f>L35*N35</f>
        <v>653940</v>
      </c>
      <c r="R35" s="97">
        <f>F35</f>
        <v>10899</v>
      </c>
      <c r="S35" s="15" t="s">
        <v>133</v>
      </c>
      <c r="T35" s="32">
        <f>T15</f>
        <v>432</v>
      </c>
      <c r="U35" t="str">
        <f>U15</f>
        <v>MW</v>
      </c>
      <c r="V35" s="49">
        <f>R35*T35</f>
        <v>4708368</v>
      </c>
    </row>
    <row r="36" spans="1:22" x14ac:dyDescent="0.2">
      <c r="A36" s="115" t="s">
        <v>134</v>
      </c>
      <c r="B36" s="16" t="s">
        <v>135</v>
      </c>
      <c r="C36" s="16"/>
      <c r="D36" s="16"/>
      <c r="E36" s="16"/>
      <c r="F36" s="78">
        <f>INDEX('Rates Lookup'!$C$5:$Y$5,1,MATCH($J$6,'Rates Lookup'!$C$1:$Y$1,0))</f>
        <v>1.22</v>
      </c>
      <c r="G36" s="17" t="s">
        <v>119</v>
      </c>
      <c r="H36" s="39">
        <f>H17</f>
        <v>756863.99999999988</v>
      </c>
      <c r="I36" s="16" t="str">
        <f>I17</f>
        <v>MWh</v>
      </c>
      <c r="J36" s="50">
        <f>F36*H36</f>
        <v>923374.07999999984</v>
      </c>
      <c r="L36" s="97">
        <f>F36</f>
        <v>1.22</v>
      </c>
      <c r="M36" s="17" t="s">
        <v>119</v>
      </c>
      <c r="N36" s="39">
        <f>N17</f>
        <v>61319.999999999993</v>
      </c>
      <c r="O36" s="16" t="str">
        <f>O17</f>
        <v>MWh</v>
      </c>
      <c r="P36" s="50">
        <f>L36*N36</f>
        <v>74810.399999999994</v>
      </c>
      <c r="R36" s="97">
        <f>F36</f>
        <v>1.22</v>
      </c>
      <c r="S36" s="17" t="s">
        <v>119</v>
      </c>
      <c r="T36" s="39">
        <f>T17</f>
        <v>946080</v>
      </c>
      <c r="U36" s="16" t="str">
        <f>U17</f>
        <v>MWh</v>
      </c>
      <c r="V36" s="50">
        <f>R36*T36</f>
        <v>1154217.5999999999</v>
      </c>
    </row>
    <row r="37" spans="1:22" x14ac:dyDescent="0.2">
      <c r="A37" s="27" t="s">
        <v>136</v>
      </c>
      <c r="B37" s="28"/>
      <c r="C37" s="28"/>
      <c r="D37" s="28"/>
      <c r="E37" s="28"/>
      <c r="F37" s="29"/>
      <c r="G37" s="28"/>
      <c r="H37" s="40"/>
      <c r="I37" s="28"/>
      <c r="J37" s="51"/>
      <c r="L37" s="98"/>
      <c r="M37" s="28"/>
      <c r="N37" s="40"/>
      <c r="O37" s="28"/>
      <c r="P37" s="51"/>
      <c r="R37" s="98"/>
      <c r="S37" s="28"/>
      <c r="T37" s="40"/>
      <c r="U37" s="28"/>
      <c r="V37" s="51"/>
    </row>
    <row r="38" spans="1:22" x14ac:dyDescent="0.2">
      <c r="A38" s="14" t="s">
        <v>134</v>
      </c>
      <c r="B38" t="s">
        <v>113</v>
      </c>
      <c r="F38" s="78">
        <f>INDEX('Rates Lookup'!$C$6:$Y$6,1,MATCH($J$6,'Rates Lookup'!$C$1:$Y$1,0))</f>
        <v>2841</v>
      </c>
      <c r="G38" s="15" t="s">
        <v>133</v>
      </c>
      <c r="H38" s="32">
        <f>H18</f>
        <v>1440</v>
      </c>
      <c r="I38" t="str">
        <f>I18</f>
        <v>MW</v>
      </c>
      <c r="J38" s="49">
        <f>F38*H38</f>
        <v>4091040</v>
      </c>
      <c r="L38" s="97">
        <f t="shared" ref="L38:L45" si="0">F38</f>
        <v>2841</v>
      </c>
      <c r="M38" s="15" t="s">
        <v>133</v>
      </c>
      <c r="N38" s="32">
        <f>N18</f>
        <v>120</v>
      </c>
      <c r="O38" t="str">
        <f>O18</f>
        <v>MW</v>
      </c>
      <c r="P38" s="49">
        <f>L38*N38</f>
        <v>340920</v>
      </c>
      <c r="R38" s="97">
        <f t="shared" ref="R38:R39" si="1">F38</f>
        <v>2841</v>
      </c>
      <c r="S38" s="15" t="s">
        <v>133</v>
      </c>
      <c r="T38" s="32">
        <f>T18</f>
        <v>1440</v>
      </c>
      <c r="U38" t="str">
        <f>U18</f>
        <v>MW</v>
      </c>
      <c r="V38" s="49">
        <f>R38*T38</f>
        <v>4091040</v>
      </c>
    </row>
    <row r="39" spans="1:22" x14ac:dyDescent="0.2">
      <c r="A39" s="115" t="s">
        <v>137</v>
      </c>
      <c r="B39" s="16" t="s">
        <v>110</v>
      </c>
      <c r="C39" s="16"/>
      <c r="D39" s="16"/>
      <c r="E39" s="16"/>
      <c r="F39" s="78">
        <f>INDEX('Rates Lookup'!$C$7:$Y$7,1,MATCH($J$6,'Rates Lookup'!$C$1:$Y$1,0))</f>
        <v>0.92</v>
      </c>
      <c r="G39" s="17" t="s">
        <v>119</v>
      </c>
      <c r="H39" s="39">
        <f>H17</f>
        <v>756863.99999999988</v>
      </c>
      <c r="I39" s="16" t="str">
        <f>I17</f>
        <v>MWh</v>
      </c>
      <c r="J39" s="50">
        <f>F39*H39</f>
        <v>696314.87999999989</v>
      </c>
      <c r="L39" s="97">
        <f t="shared" si="0"/>
        <v>0.92</v>
      </c>
      <c r="M39" s="17" t="s">
        <v>119</v>
      </c>
      <c r="N39" s="39">
        <f>N17</f>
        <v>61319.999999999993</v>
      </c>
      <c r="O39" s="16" t="str">
        <f>O17</f>
        <v>MWh</v>
      </c>
      <c r="P39" s="50">
        <f>L39*N39</f>
        <v>56414.399999999994</v>
      </c>
      <c r="R39" s="97">
        <f t="shared" si="1"/>
        <v>0.92</v>
      </c>
      <c r="S39" s="17" t="s">
        <v>119</v>
      </c>
      <c r="T39" s="39">
        <f>T17</f>
        <v>946080</v>
      </c>
      <c r="U39" s="16" t="str">
        <f>U17</f>
        <v>MWh</v>
      </c>
      <c r="V39" s="50">
        <f>R39*T39</f>
        <v>870393.60000000009</v>
      </c>
    </row>
    <row r="40" spans="1:22" x14ac:dyDescent="0.2">
      <c r="A40" s="27" t="s">
        <v>138</v>
      </c>
      <c r="B40" s="28"/>
      <c r="C40" s="28"/>
      <c r="D40" s="28"/>
      <c r="E40" s="28"/>
      <c r="F40" s="29"/>
      <c r="G40" s="28"/>
      <c r="H40" s="40"/>
      <c r="I40" s="28"/>
      <c r="J40" s="51"/>
      <c r="L40" s="98"/>
      <c r="M40" s="28"/>
      <c r="N40" s="40"/>
      <c r="O40" s="28"/>
      <c r="P40" s="51"/>
      <c r="R40" s="98"/>
      <c r="S40" s="28"/>
      <c r="T40" s="40"/>
      <c r="U40" s="28"/>
      <c r="V40" s="51"/>
    </row>
    <row r="41" spans="1:22" x14ac:dyDescent="0.2">
      <c r="A41" s="14" t="s">
        <v>139</v>
      </c>
      <c r="B41" t="s">
        <v>140</v>
      </c>
      <c r="F41" s="78">
        <f>INDEX('Rates Lookup'!$C$8:$Y$8,1,MATCH($J$6,'Rates Lookup'!$C$1:$Y$1,0))</f>
        <v>14641</v>
      </c>
      <c r="G41" s="15" t="s">
        <v>141</v>
      </c>
      <c r="H41" s="34">
        <f>H12</f>
        <v>1</v>
      </c>
      <c r="J41" s="49">
        <f>F41*H41*12</f>
        <v>175692</v>
      </c>
      <c r="L41" s="97">
        <f t="shared" si="0"/>
        <v>14641</v>
      </c>
      <c r="M41" s="15" t="s">
        <v>141</v>
      </c>
      <c r="N41" s="34">
        <f>N12</f>
        <v>1</v>
      </c>
      <c r="P41" s="49">
        <f>L41*N41*12</f>
        <v>175692</v>
      </c>
      <c r="R41" s="97">
        <f t="shared" ref="R41:R45" si="2">F41</f>
        <v>14641</v>
      </c>
      <c r="S41" s="15" t="s">
        <v>141</v>
      </c>
      <c r="T41" s="34">
        <f>T12</f>
        <v>1</v>
      </c>
      <c r="V41" s="49">
        <f>R41*T41*12</f>
        <v>175692</v>
      </c>
    </row>
    <row r="42" spans="1:22" x14ac:dyDescent="0.2">
      <c r="A42" s="14" t="s">
        <v>142</v>
      </c>
      <c r="B42" t="s">
        <v>143</v>
      </c>
      <c r="F42" s="78">
        <f>INDEX('Rates Lookup'!$C$9:$Y$9,1,MATCH($J$6,'Rates Lookup'!$C$1:$Y$1,0))</f>
        <v>4819</v>
      </c>
      <c r="G42" s="15" t="s">
        <v>133</v>
      </c>
      <c r="H42" s="32">
        <f>MIN(G18,7.5*H12)</f>
        <v>7.5</v>
      </c>
      <c r="I42" t="str">
        <f>I18</f>
        <v>MW</v>
      </c>
      <c r="J42" s="49">
        <f>F42*H42*12</f>
        <v>433710</v>
      </c>
      <c r="L42" s="97">
        <f t="shared" si="0"/>
        <v>4819</v>
      </c>
      <c r="M42" s="15" t="s">
        <v>133</v>
      </c>
      <c r="N42" s="32">
        <f>MIN(N18/12,7.5*N12)</f>
        <v>7.5</v>
      </c>
      <c r="O42" t="str">
        <f>O18</f>
        <v>MW</v>
      </c>
      <c r="P42" s="49">
        <f>L42*N42*12</f>
        <v>433710</v>
      </c>
      <c r="R42" s="97">
        <f t="shared" si="2"/>
        <v>4819</v>
      </c>
      <c r="S42" s="15" t="s">
        <v>133</v>
      </c>
      <c r="T42" s="32">
        <f>MIN(T18/12,7.5*T12)</f>
        <v>7.5</v>
      </c>
      <c r="U42" t="str">
        <f>U18</f>
        <v>MW</v>
      </c>
      <c r="V42" s="49">
        <f>R42*T42*12</f>
        <v>433710</v>
      </c>
    </row>
    <row r="43" spans="1:22" x14ac:dyDescent="0.2">
      <c r="A43" s="14" t="s">
        <v>144</v>
      </c>
      <c r="B43" t="s">
        <v>145</v>
      </c>
      <c r="F43" s="78">
        <f>INDEX('Rates Lookup'!$C$10:$Y$10,1,MATCH($J$6,'Rates Lookup'!$C$1:$Y$1,0))</f>
        <v>2858</v>
      </c>
      <c r="G43" s="15" t="s">
        <v>133</v>
      </c>
      <c r="H43" s="32">
        <f>MAX(MIN(G18,17*H12)-(7.5*H12),0)</f>
        <v>9.5</v>
      </c>
      <c r="I43" t="str">
        <f>I18</f>
        <v>MW</v>
      </c>
      <c r="J43" s="49">
        <f>F43*H43*12</f>
        <v>325812</v>
      </c>
      <c r="L43" s="97">
        <f t="shared" si="0"/>
        <v>2858</v>
      </c>
      <c r="M43" s="15" t="s">
        <v>133</v>
      </c>
      <c r="N43" s="32">
        <f>MAX(MIN(N18/12,17*N12)-(7.5*N12),0)</f>
        <v>2.5</v>
      </c>
      <c r="O43" t="str">
        <f>O18</f>
        <v>MW</v>
      </c>
      <c r="P43" s="49">
        <f>L43*N43*12</f>
        <v>85740</v>
      </c>
      <c r="R43" s="97">
        <f t="shared" si="2"/>
        <v>2858</v>
      </c>
      <c r="S43" s="15" t="s">
        <v>133</v>
      </c>
      <c r="T43" s="32">
        <f>MAX(MIN(T18/12,17*T12)-(7.5*T12),0)</f>
        <v>9.5</v>
      </c>
      <c r="U43" t="str">
        <f>U18</f>
        <v>MW</v>
      </c>
      <c r="V43" s="49">
        <f>R43*T43*12</f>
        <v>325812</v>
      </c>
    </row>
    <row r="44" spans="1:22" x14ac:dyDescent="0.2">
      <c r="A44" s="14" t="s">
        <v>146</v>
      </c>
      <c r="B44" t="s">
        <v>147</v>
      </c>
      <c r="F44" s="78">
        <f>INDEX('Rates Lookup'!$C$11:$Y$11,1,MATCH($J$6,'Rates Lookup'!$C$1:$Y$1,0))</f>
        <v>1913</v>
      </c>
      <c r="G44" s="15" t="s">
        <v>133</v>
      </c>
      <c r="H44" s="32">
        <f>MAX(MIN(G18,40*H12)-(17*H12),0)</f>
        <v>23</v>
      </c>
      <c r="I44" t="str">
        <f>I18</f>
        <v>MW</v>
      </c>
      <c r="J44" s="49">
        <f>F44*H44*12</f>
        <v>527988</v>
      </c>
      <c r="L44" s="97">
        <f t="shared" si="0"/>
        <v>1913</v>
      </c>
      <c r="M44" s="15" t="s">
        <v>133</v>
      </c>
      <c r="N44" s="32">
        <f>MAX(MIN(N18/12,40*N12)-(17*N12),0)</f>
        <v>0</v>
      </c>
      <c r="O44" t="str">
        <f>O18</f>
        <v>MW</v>
      </c>
      <c r="P44" s="49">
        <f>L44*N44*12</f>
        <v>0</v>
      </c>
      <c r="R44" s="97">
        <f t="shared" si="2"/>
        <v>1913</v>
      </c>
      <c r="S44" s="15" t="s">
        <v>133</v>
      </c>
      <c r="T44" s="32">
        <f>MAX(MIN(T18/12,40*T12)-(17*T12),0)</f>
        <v>23</v>
      </c>
      <c r="U44" t="str">
        <f>U18</f>
        <v>MW</v>
      </c>
      <c r="V44" s="49">
        <f>R44*T44*12</f>
        <v>527988</v>
      </c>
    </row>
    <row r="45" spans="1:22" x14ac:dyDescent="0.2">
      <c r="A45" s="20" t="s">
        <v>148</v>
      </c>
      <c r="B45" s="18" t="s">
        <v>149</v>
      </c>
      <c r="C45" s="18"/>
      <c r="D45" s="18"/>
      <c r="E45" s="18"/>
      <c r="F45" s="79">
        <f>INDEX('Rates Lookup'!$C$12:$Y$12,1,MATCH($J$6,'Rates Lookup'!$C$1:$Y$1,0))</f>
        <v>1178</v>
      </c>
      <c r="G45" s="19" t="s">
        <v>133</v>
      </c>
      <c r="H45" s="41">
        <f>MAX(G18-(40*H12),0)</f>
        <v>80</v>
      </c>
      <c r="I45" s="18" t="str">
        <f>I18</f>
        <v>MW</v>
      </c>
      <c r="J45" s="52">
        <f>F45*H45*12</f>
        <v>1130880</v>
      </c>
      <c r="L45" s="99">
        <f t="shared" si="0"/>
        <v>1178</v>
      </c>
      <c r="M45" s="19" t="s">
        <v>133</v>
      </c>
      <c r="N45" s="41">
        <f>MAX(N18/12-(40*N12),0)</f>
        <v>0</v>
      </c>
      <c r="O45" s="18" t="str">
        <f>O18</f>
        <v>MW</v>
      </c>
      <c r="P45" s="52">
        <f>L45*N45*12</f>
        <v>0</v>
      </c>
      <c r="R45" s="99">
        <f t="shared" si="2"/>
        <v>1178</v>
      </c>
      <c r="S45" s="19" t="s">
        <v>133</v>
      </c>
      <c r="T45" s="41">
        <f>MAX(T18/12-(40*T12),0)</f>
        <v>80</v>
      </c>
      <c r="U45" s="18" t="str">
        <f>U18</f>
        <v>MW</v>
      </c>
      <c r="V45" s="52">
        <f>R45*T45*12</f>
        <v>1130880</v>
      </c>
    </row>
    <row r="46" spans="1:22" ht="12.75" customHeight="1" x14ac:dyDescent="0.2">
      <c r="A46" s="21" t="s">
        <v>150</v>
      </c>
      <c r="B46" s="22"/>
      <c r="C46" s="22"/>
      <c r="D46" s="22"/>
      <c r="E46" s="22"/>
      <c r="F46" s="23"/>
      <c r="G46" s="22"/>
      <c r="H46" s="44"/>
      <c r="I46" s="22"/>
      <c r="J46" s="55">
        <f>SUM(J35:J45)</f>
        <v>8618702.1600000001</v>
      </c>
      <c r="L46" s="113" t="s">
        <v>150</v>
      </c>
      <c r="M46" s="22"/>
      <c r="N46" s="44"/>
      <c r="O46" s="22"/>
      <c r="P46" s="55">
        <f>SUM(P35:P45)</f>
        <v>1821226.7999999998</v>
      </c>
      <c r="R46" s="113" t="s">
        <v>150</v>
      </c>
      <c r="S46" s="22"/>
      <c r="T46" s="44"/>
      <c r="U46" s="22"/>
      <c r="V46" s="55">
        <f>SUM(V35:V45)</f>
        <v>13418101.199999999</v>
      </c>
    </row>
    <row r="47" spans="1:22" ht="12.75" customHeight="1" x14ac:dyDescent="0.2">
      <c r="J47" s="6"/>
      <c r="L47" s="122"/>
      <c r="M47" s="122"/>
      <c r="N47" s="122"/>
      <c r="O47" s="122"/>
      <c r="P47" s="122"/>
      <c r="R47" s="122"/>
      <c r="S47" s="122"/>
      <c r="T47" s="122"/>
      <c r="U47" s="122"/>
      <c r="V47" s="122"/>
    </row>
    <row r="48" spans="1:22" x14ac:dyDescent="0.2">
      <c r="A48" s="4" t="s">
        <v>151</v>
      </c>
      <c r="C48" s="4"/>
      <c r="D48" s="4"/>
      <c r="E48" s="4"/>
      <c r="F48" s="4"/>
      <c r="G48" s="4"/>
      <c r="H48" s="37"/>
      <c r="I48" s="4"/>
      <c r="J48" s="8"/>
      <c r="L48" s="123"/>
      <c r="M48" s="123"/>
      <c r="N48" s="124"/>
      <c r="O48" s="123"/>
      <c r="P48" s="135"/>
      <c r="R48" s="123"/>
      <c r="S48" s="123"/>
      <c r="T48" s="124"/>
      <c r="U48" s="123"/>
      <c r="V48" s="135"/>
    </row>
    <row r="49" spans="1:22" x14ac:dyDescent="0.2">
      <c r="A49" s="9" t="s">
        <v>152</v>
      </c>
      <c r="B49" s="10" t="s">
        <v>110</v>
      </c>
      <c r="C49" s="10"/>
      <c r="D49" s="46" t="s">
        <v>153</v>
      </c>
      <c r="E49" s="56">
        <f>INDEX('Rates Lookup'!$C$19:$Y$19,1,MATCH($J$6,'Rates Lookup'!$C$1:$Y$1,0))</f>
        <v>7.1800000000000003E-2</v>
      </c>
      <c r="F49" s="47">
        <f>H20</f>
        <v>30</v>
      </c>
      <c r="G49" s="45" t="s">
        <v>119</v>
      </c>
      <c r="H49" s="42">
        <f>H17</f>
        <v>756863.99999999988</v>
      </c>
      <c r="I49" s="10" t="str">
        <f>I17</f>
        <v>MWh</v>
      </c>
      <c r="J49" s="53">
        <f>E49*F49*H49</f>
        <v>1630285.0559999996</v>
      </c>
      <c r="L49" s="101">
        <f>F49</f>
        <v>30</v>
      </c>
      <c r="M49" s="45" t="s">
        <v>119</v>
      </c>
      <c r="N49" s="42">
        <f>N17</f>
        <v>61319.999999999993</v>
      </c>
      <c r="O49" s="10" t="str">
        <f>O17</f>
        <v>MWh</v>
      </c>
      <c r="P49" s="53">
        <f>E49*L49*N49</f>
        <v>132083.27999999997</v>
      </c>
      <c r="R49" s="101">
        <f>L49</f>
        <v>30</v>
      </c>
      <c r="S49" s="45" t="s">
        <v>119</v>
      </c>
      <c r="T49" s="42">
        <f>T17</f>
        <v>946080</v>
      </c>
      <c r="U49" s="10" t="str">
        <f>U17</f>
        <v>MWh</v>
      </c>
      <c r="V49" s="53">
        <f>E49*R49*T49</f>
        <v>2037856.3199999998</v>
      </c>
    </row>
    <row r="50" spans="1:22" x14ac:dyDescent="0.2">
      <c r="A50" s="4" t="s">
        <v>154</v>
      </c>
      <c r="C50" s="4"/>
      <c r="D50" s="4"/>
      <c r="E50" s="4"/>
      <c r="F50" s="4"/>
      <c r="G50" s="4"/>
      <c r="H50" s="37"/>
      <c r="I50" s="4"/>
      <c r="J50" s="8"/>
      <c r="L50" s="100"/>
      <c r="M50" s="4"/>
      <c r="N50" s="37"/>
      <c r="O50" s="4"/>
      <c r="P50" s="8"/>
      <c r="R50" s="100"/>
      <c r="S50" s="4"/>
      <c r="T50" s="37"/>
      <c r="U50" s="4"/>
      <c r="V50" s="8"/>
    </row>
    <row r="51" spans="1:22" x14ac:dyDescent="0.2">
      <c r="A51" s="9" t="s">
        <v>155</v>
      </c>
      <c r="B51" s="10" t="s">
        <v>110</v>
      </c>
      <c r="C51" s="10"/>
      <c r="D51" s="10"/>
      <c r="E51" s="10"/>
      <c r="F51" s="80">
        <f>INDEX('Rates Lookup'!$C$20:$Y$20,1,MATCH($J$6,'Rates Lookup'!$C$1:$Y$1,0))</f>
        <v>6.9000000000000006E-2</v>
      </c>
      <c r="G51" s="11" t="s">
        <v>119</v>
      </c>
      <c r="H51" s="42">
        <f>H17</f>
        <v>756863.99999999988</v>
      </c>
      <c r="I51" s="10" t="str">
        <f>I17</f>
        <v>MWh</v>
      </c>
      <c r="J51" s="53">
        <f>F51*H51</f>
        <v>52223.615999999995</v>
      </c>
      <c r="L51" s="102">
        <f>F51</f>
        <v>6.9000000000000006E-2</v>
      </c>
      <c r="M51" s="11" t="s">
        <v>119</v>
      </c>
      <c r="N51" s="42">
        <f>N17</f>
        <v>61319.999999999993</v>
      </c>
      <c r="O51" s="10" t="str">
        <f>O17</f>
        <v>MWh</v>
      </c>
      <c r="P51" s="53">
        <f>L51*N51</f>
        <v>4231.08</v>
      </c>
      <c r="R51" s="102">
        <f>INDEX('Rates Lookup'!$C$20:$Y$20,1,MATCH($J$6,'Rates Lookup'!$C$1:$Y$1,0))</f>
        <v>6.9000000000000006E-2</v>
      </c>
      <c r="S51" s="11" t="s">
        <v>119</v>
      </c>
      <c r="T51" s="42">
        <f>T17</f>
        <v>946080</v>
      </c>
      <c r="U51" s="10" t="str">
        <f>U17</f>
        <v>MWh</v>
      </c>
      <c r="V51" s="53">
        <f>R51*T51</f>
        <v>65279.520000000004</v>
      </c>
    </row>
    <row r="52" spans="1:22" x14ac:dyDescent="0.2">
      <c r="A52" s="4" t="s">
        <v>156</v>
      </c>
      <c r="C52" s="4"/>
      <c r="D52" s="4"/>
      <c r="E52" s="4"/>
      <c r="F52" s="4"/>
      <c r="G52" s="4"/>
      <c r="H52" s="37"/>
      <c r="I52" s="4"/>
      <c r="J52" s="8"/>
      <c r="L52" s="100"/>
      <c r="M52" s="4"/>
      <c r="N52" s="37"/>
      <c r="O52" s="4"/>
      <c r="P52" s="8"/>
      <c r="R52" s="100"/>
      <c r="S52" s="4"/>
      <c r="T52" s="37"/>
      <c r="U52" s="4"/>
      <c r="V52" s="8"/>
    </row>
    <row r="53" spans="1:22" x14ac:dyDescent="0.2">
      <c r="A53" s="9" t="s">
        <v>157</v>
      </c>
      <c r="B53" s="10" t="s">
        <v>110</v>
      </c>
      <c r="C53" s="10"/>
      <c r="D53" s="10"/>
      <c r="E53" s="10"/>
      <c r="F53" s="77">
        <f>INDEX('Rates Lookup'!$C$21:$Y$21,1,MATCH($J$6,'Rates Lookup'!$C$1:$Y$1,0))</f>
        <v>0.06</v>
      </c>
      <c r="G53" s="11" t="s">
        <v>119</v>
      </c>
      <c r="H53" s="42">
        <f>H17</f>
        <v>756863.99999999988</v>
      </c>
      <c r="I53" s="10" t="str">
        <f>I17</f>
        <v>MWh</v>
      </c>
      <c r="J53" s="53">
        <f>F53*H53</f>
        <v>45411.839999999989</v>
      </c>
      <c r="L53" s="103">
        <f>F53</f>
        <v>0.06</v>
      </c>
      <c r="M53" s="11" t="s">
        <v>119</v>
      </c>
      <c r="N53" s="42">
        <f>N17</f>
        <v>61319.999999999993</v>
      </c>
      <c r="O53" s="10" t="str">
        <f>O17</f>
        <v>MWh</v>
      </c>
      <c r="P53" s="53">
        <f>L53*N53</f>
        <v>3679.1999999999994</v>
      </c>
      <c r="R53" s="103">
        <f>INDEX('Rates Lookup'!$C$21:$Y$21,1,MATCH($J$6,'Rates Lookup'!$C$1:$Y$1,0))</f>
        <v>0.06</v>
      </c>
      <c r="S53" s="11" t="s">
        <v>119</v>
      </c>
      <c r="T53" s="42">
        <f>T17</f>
        <v>946080</v>
      </c>
      <c r="U53" s="10" t="str">
        <f>U17</f>
        <v>MWh</v>
      </c>
      <c r="V53" s="53">
        <f>R53*T53</f>
        <v>56764.799999999996</v>
      </c>
    </row>
    <row r="54" spans="1:22" x14ac:dyDescent="0.2">
      <c r="A54" s="4" t="s">
        <v>158</v>
      </c>
      <c r="B54" s="4"/>
      <c r="C54" s="4"/>
      <c r="D54" s="4"/>
      <c r="E54" s="4"/>
      <c r="F54" s="4"/>
      <c r="G54" s="4"/>
      <c r="H54" s="37"/>
      <c r="I54" s="4"/>
      <c r="J54" s="8"/>
      <c r="L54" s="100"/>
      <c r="M54" s="4"/>
      <c r="N54" s="37"/>
      <c r="O54" s="4"/>
      <c r="P54" s="8"/>
      <c r="R54" s="100"/>
      <c r="S54" s="4"/>
      <c r="T54" s="37"/>
      <c r="U54" s="4"/>
      <c r="V54" s="8"/>
    </row>
    <row r="55" spans="1:22" x14ac:dyDescent="0.2">
      <c r="A55" s="114" t="s">
        <v>159</v>
      </c>
      <c r="B55" s="12" t="s">
        <v>103</v>
      </c>
      <c r="C55" s="12"/>
      <c r="D55" s="12"/>
      <c r="E55" s="12"/>
      <c r="F55" s="81">
        <f>INDEX('Rates Lookup'!$C$22:$Y$22,1,MATCH($J$6,'Rates Lookup'!$C$1:$Y$1,0))</f>
        <v>52</v>
      </c>
      <c r="G55" s="13" t="s">
        <v>133</v>
      </c>
      <c r="H55" s="43">
        <f>H14</f>
        <v>1440</v>
      </c>
      <c r="I55" s="12" t="str">
        <f>I14</f>
        <v>MW</v>
      </c>
      <c r="J55" s="54">
        <f>F55*H55</f>
        <v>74880</v>
      </c>
      <c r="L55" s="104">
        <f>F55</f>
        <v>52</v>
      </c>
      <c r="M55" s="13" t="s">
        <v>133</v>
      </c>
      <c r="N55" s="43">
        <f>N14</f>
        <v>120</v>
      </c>
      <c r="O55" s="12" t="str">
        <f>O14</f>
        <v>MW</v>
      </c>
      <c r="P55" s="54">
        <f>L55*N55</f>
        <v>6240</v>
      </c>
      <c r="R55" s="104">
        <f>INDEX('Rates Lookup'!$C$22:$Y$22,1,MATCH($J$6,'Rates Lookup'!$C$1:$Y$1,0))</f>
        <v>52</v>
      </c>
      <c r="S55" s="13" t="s">
        <v>133</v>
      </c>
      <c r="T55" s="43">
        <f>T14</f>
        <v>1440</v>
      </c>
      <c r="U55" s="12" t="str">
        <f>U14</f>
        <v>MW</v>
      </c>
      <c r="V55" s="54">
        <f>R55*T55</f>
        <v>74880</v>
      </c>
    </row>
    <row r="56" spans="1:22" x14ac:dyDescent="0.2">
      <c r="A56" s="112" t="s">
        <v>160</v>
      </c>
      <c r="B56" s="18" t="s">
        <v>161</v>
      </c>
      <c r="C56" s="18"/>
      <c r="D56" s="18"/>
      <c r="E56" s="18"/>
      <c r="F56" s="79">
        <f>INDEX('Rates Lookup'!$C$24:$Y$24,1,MATCH($J$6,'Rates Lookup'!$C$1:$Y$1,0))</f>
        <v>400</v>
      </c>
      <c r="G56" s="19" t="s">
        <v>162</v>
      </c>
      <c r="H56" s="41">
        <f>H19</f>
        <v>0</v>
      </c>
      <c r="I56" s="18" t="str">
        <f>I19</f>
        <v>MVA</v>
      </c>
      <c r="J56" s="52">
        <f>F56*H56</f>
        <v>0</v>
      </c>
      <c r="L56" s="99">
        <f>F56</f>
        <v>400</v>
      </c>
      <c r="M56" s="19" t="s">
        <v>162</v>
      </c>
      <c r="N56" s="41">
        <f>N19</f>
        <v>0</v>
      </c>
      <c r="O56" s="18" t="str">
        <f>O19</f>
        <v>MVA</v>
      </c>
      <c r="P56" s="52">
        <f>L56*N56</f>
        <v>0</v>
      </c>
      <c r="R56" s="99">
        <f>INDEX('Rates Lookup'!$C$24:$Y$24,1,MATCH($J$6,'Rates Lookup'!$C$1:$Y$1,0))</f>
        <v>400</v>
      </c>
      <c r="S56" s="19" t="s">
        <v>162</v>
      </c>
      <c r="T56" s="41">
        <f>T19</f>
        <v>0</v>
      </c>
      <c r="U56" s="18" t="str">
        <f>U19</f>
        <v>MVA</v>
      </c>
      <c r="V56" s="52">
        <f>R56*T56</f>
        <v>0</v>
      </c>
    </row>
    <row r="57" spans="1:22" x14ac:dyDescent="0.2">
      <c r="A57" s="21" t="s">
        <v>163</v>
      </c>
      <c r="B57" s="22"/>
      <c r="C57" s="22"/>
      <c r="D57" s="22"/>
      <c r="E57" s="22"/>
      <c r="F57" s="23"/>
      <c r="G57" s="22"/>
      <c r="H57" s="44"/>
      <c r="I57" s="22"/>
      <c r="J57" s="55">
        <f>SUM(J46:J56)</f>
        <v>10421502.672</v>
      </c>
      <c r="L57" s="113" t="s">
        <v>163</v>
      </c>
      <c r="M57" s="22"/>
      <c r="N57" s="44"/>
      <c r="O57" s="22"/>
      <c r="P57" s="55">
        <f>SUM(P46:P56)</f>
        <v>1967460.3599999999</v>
      </c>
      <c r="R57" s="113" t="s">
        <v>163</v>
      </c>
      <c r="S57" s="22"/>
      <c r="T57" s="44"/>
      <c r="U57" s="22"/>
      <c r="V57" s="55">
        <f>SUM(V46:V56)</f>
        <v>15652881.84</v>
      </c>
    </row>
    <row r="58" spans="1:22" ht="9" customHeight="1" x14ac:dyDescent="0.2">
      <c r="J58" s="6"/>
      <c r="P58" s="6"/>
      <c r="V58" s="6"/>
    </row>
    <row r="59" spans="1:22" x14ac:dyDescent="0.2">
      <c r="A59" s="24" t="s">
        <v>164</v>
      </c>
      <c r="B59" s="25"/>
      <c r="C59" s="25"/>
      <c r="D59" s="25"/>
      <c r="E59" s="25"/>
      <c r="F59" s="26"/>
      <c r="G59" s="25"/>
      <c r="H59" s="38"/>
      <c r="I59" s="25"/>
      <c r="J59" s="48"/>
      <c r="L59" s="98"/>
      <c r="M59" s="28"/>
      <c r="N59" s="40"/>
      <c r="O59" s="28"/>
      <c r="P59" s="51"/>
      <c r="R59" s="98"/>
      <c r="S59" s="28"/>
      <c r="T59" s="40"/>
      <c r="U59" s="28"/>
      <c r="V59" s="51"/>
    </row>
    <row r="60" spans="1:22" x14ac:dyDescent="0.2">
      <c r="A60" s="111"/>
      <c r="B60" t="s">
        <v>140</v>
      </c>
      <c r="F60" s="138">
        <f>INDEX('Rates Lookup'!$C$13:$Y$13,1,MATCH($J$6,'Rates Lookup'!$C$1:$Y$1,0))</f>
        <v>-11566</v>
      </c>
      <c r="G60" s="15" t="s">
        <v>141</v>
      </c>
      <c r="H60" s="34">
        <f>H12</f>
        <v>1</v>
      </c>
      <c r="J60" s="49">
        <f>IF(H$13="No",0,F60*H60)*12</f>
        <v>0</v>
      </c>
      <c r="L60" s="139">
        <f>F60</f>
        <v>-11566</v>
      </c>
      <c r="M60" s="15" t="s">
        <v>141</v>
      </c>
      <c r="N60" s="34">
        <f>N12</f>
        <v>1</v>
      </c>
      <c r="P60" s="49">
        <f>IF($N$13="No",0,L60*N60*12)</f>
        <v>0</v>
      </c>
      <c r="R60" s="139">
        <f>F60</f>
        <v>-11566</v>
      </c>
      <c r="S60" s="15" t="s">
        <v>141</v>
      </c>
      <c r="T60" s="34">
        <f>T12</f>
        <v>1</v>
      </c>
      <c r="V60" s="49">
        <f>IF($N$13="No",0,R60*T60*12)</f>
        <v>0</v>
      </c>
    </row>
    <row r="61" spans="1:22" x14ac:dyDescent="0.2">
      <c r="A61" s="111"/>
      <c r="B61" t="s">
        <v>143</v>
      </c>
      <c r="F61" s="138">
        <f>INDEX('Rates Lookup'!$C$14:$Y$14,1,MATCH($J$6,'Rates Lookup'!$C$1:$Y$1,0))</f>
        <v>-3807</v>
      </c>
      <c r="G61" s="15" t="s">
        <v>133</v>
      </c>
      <c r="H61" s="32">
        <f>H42</f>
        <v>7.5</v>
      </c>
      <c r="I61" t="str">
        <f>I39</f>
        <v>MWh</v>
      </c>
      <c r="J61" s="49">
        <f>IF(H$13="No",0,F61*H61)*12</f>
        <v>0</v>
      </c>
      <c r="L61" s="139">
        <f t="shared" ref="L61:L64" si="3">F61</f>
        <v>-3807</v>
      </c>
      <c r="M61" s="15" t="s">
        <v>133</v>
      </c>
      <c r="N61" s="32">
        <f>N42</f>
        <v>7.5</v>
      </c>
      <c r="O61" t="str">
        <f>O39</f>
        <v>MWh</v>
      </c>
      <c r="P61" s="49">
        <f>IF($N$13="No",0,L61*N61*12)</f>
        <v>0</v>
      </c>
      <c r="R61" s="139">
        <f t="shared" ref="R61:R64" si="4">F61</f>
        <v>-3807</v>
      </c>
      <c r="S61" s="15" t="s">
        <v>133</v>
      </c>
      <c r="T61" s="32">
        <f>T42</f>
        <v>7.5</v>
      </c>
      <c r="U61" t="str">
        <f>U39</f>
        <v>MWh</v>
      </c>
      <c r="V61" s="49">
        <f>IF($N$13="No",0,R61*T61*12)</f>
        <v>0</v>
      </c>
    </row>
    <row r="62" spans="1:22" x14ac:dyDescent="0.2">
      <c r="A62" s="111"/>
      <c r="B62" t="s">
        <v>145</v>
      </c>
      <c r="F62" s="138">
        <f>INDEX('Rates Lookup'!$C$15:$Y$15,1,MATCH($J$6,'Rates Lookup'!$C$1:$Y$1,0))</f>
        <v>-2258</v>
      </c>
      <c r="G62" s="15" t="s">
        <v>133</v>
      </c>
      <c r="H62" s="32">
        <f>H43</f>
        <v>9.5</v>
      </c>
      <c r="I62" t="str">
        <f>I39</f>
        <v>MWh</v>
      </c>
      <c r="J62" s="49">
        <f>IF(H$13="No",0,F62*H62)*12</f>
        <v>0</v>
      </c>
      <c r="L62" s="139">
        <f t="shared" si="3"/>
        <v>-2258</v>
      </c>
      <c r="M62" s="15" t="s">
        <v>133</v>
      </c>
      <c r="N62" s="32">
        <f>N43</f>
        <v>2.5</v>
      </c>
      <c r="O62" t="str">
        <f>O39</f>
        <v>MWh</v>
      </c>
      <c r="P62" s="49">
        <f>IF($N$13="No",0,L62*N62*12)</f>
        <v>0</v>
      </c>
      <c r="R62" s="139">
        <f t="shared" si="4"/>
        <v>-2258</v>
      </c>
      <c r="S62" s="15" t="s">
        <v>133</v>
      </c>
      <c r="T62" s="32">
        <f>T43</f>
        <v>9.5</v>
      </c>
      <c r="U62" t="str">
        <f>U39</f>
        <v>MWh</v>
      </c>
      <c r="V62" s="49">
        <f>IF($N$13="No",0,R62*T62*12)</f>
        <v>0</v>
      </c>
    </row>
    <row r="63" spans="1:22" x14ac:dyDescent="0.2">
      <c r="A63" s="111"/>
      <c r="B63" t="s">
        <v>147</v>
      </c>
      <c r="F63" s="138">
        <f>INDEX('Rates Lookup'!$C$16:$Y$16,1,MATCH($J$6,'Rates Lookup'!$C$1:$Y$1,0))</f>
        <v>-1511</v>
      </c>
      <c r="G63" s="15" t="s">
        <v>133</v>
      </c>
      <c r="H63" s="32">
        <f>H44</f>
        <v>23</v>
      </c>
      <c r="I63" t="str">
        <f>I39</f>
        <v>MWh</v>
      </c>
      <c r="J63" s="49">
        <f>IF(H$13="No",0,F63*H63)*12</f>
        <v>0</v>
      </c>
      <c r="L63" s="139">
        <f t="shared" si="3"/>
        <v>-1511</v>
      </c>
      <c r="M63" s="15" t="s">
        <v>133</v>
      </c>
      <c r="N63" s="32">
        <f>N44</f>
        <v>0</v>
      </c>
      <c r="O63" t="str">
        <f>O39</f>
        <v>MWh</v>
      </c>
      <c r="P63" s="49">
        <f>IF($N$13="No",0,L63*N63*12)</f>
        <v>0</v>
      </c>
      <c r="R63" s="139">
        <f t="shared" si="4"/>
        <v>-1511</v>
      </c>
      <c r="S63" s="15" t="s">
        <v>133</v>
      </c>
      <c r="T63" s="32">
        <f>T44</f>
        <v>23</v>
      </c>
      <c r="U63" t="str">
        <f>U39</f>
        <v>MWh</v>
      </c>
      <c r="V63" s="49">
        <f>IF($N$13="No",0,R63*T63*12)</f>
        <v>0</v>
      </c>
    </row>
    <row r="64" spans="1:22" x14ac:dyDescent="0.2">
      <c r="A64" s="112"/>
      <c r="B64" s="18" t="s">
        <v>149</v>
      </c>
      <c r="C64" s="18"/>
      <c r="D64" s="18"/>
      <c r="E64" s="18"/>
      <c r="F64" s="138">
        <f>INDEX('Rates Lookup'!$C$17:$Y$17,1,MATCH($J$6,'Rates Lookup'!$C$1:$Y$1,0))</f>
        <v>-1178</v>
      </c>
      <c r="G64" s="19" t="s">
        <v>133</v>
      </c>
      <c r="H64" s="41">
        <f>H45</f>
        <v>80</v>
      </c>
      <c r="I64" s="18" t="str">
        <f>I39</f>
        <v>MWh</v>
      </c>
      <c r="J64" s="52">
        <f>IF(H$13="No",0,F64*H64)*12</f>
        <v>0</v>
      </c>
      <c r="L64" s="140">
        <f t="shared" si="3"/>
        <v>-1178</v>
      </c>
      <c r="M64" s="19" t="s">
        <v>133</v>
      </c>
      <c r="N64" s="41">
        <f>N45</f>
        <v>0</v>
      </c>
      <c r="O64" s="18" t="str">
        <f>O39</f>
        <v>MWh</v>
      </c>
      <c r="P64" s="52">
        <f>IF($N$13="No",0,L64*N64*12)</f>
        <v>0</v>
      </c>
      <c r="R64" s="140">
        <f t="shared" si="4"/>
        <v>-1178</v>
      </c>
      <c r="S64" s="19" t="s">
        <v>133</v>
      </c>
      <c r="T64" s="41">
        <f>T45</f>
        <v>80</v>
      </c>
      <c r="U64" s="18" t="str">
        <f>U39</f>
        <v>MWh</v>
      </c>
      <c r="V64" s="52">
        <f>IF($N$13="No",0,R64*T64*12)</f>
        <v>0</v>
      </c>
    </row>
    <row r="65" spans="1:22" x14ac:dyDescent="0.2">
      <c r="A65" s="21" t="s">
        <v>165</v>
      </c>
      <c r="B65" s="22"/>
      <c r="C65" s="22"/>
      <c r="D65" s="22"/>
      <c r="E65" s="22"/>
      <c r="F65" s="23"/>
      <c r="G65" s="22"/>
      <c r="H65" s="44"/>
      <c r="I65" s="22"/>
      <c r="J65" s="55">
        <f>SUM(J60:J64)</f>
        <v>0</v>
      </c>
      <c r="L65" s="113" t="s">
        <v>165</v>
      </c>
      <c r="M65" s="22"/>
      <c r="N65" s="44"/>
      <c r="O65" s="22"/>
      <c r="P65" s="55">
        <f>SUM(P60:P64)</f>
        <v>0</v>
      </c>
      <c r="R65" s="113" t="s">
        <v>165</v>
      </c>
      <c r="S65" s="22"/>
      <c r="T65" s="44"/>
      <c r="U65" s="22"/>
      <c r="V65" s="55">
        <f>SUM(V60:V64)</f>
        <v>0</v>
      </c>
    </row>
    <row r="66" spans="1:22" ht="9" customHeight="1" x14ac:dyDescent="0.2">
      <c r="J66" s="6"/>
      <c r="P66" s="6"/>
      <c r="V66" s="6"/>
    </row>
    <row r="67" spans="1:22" x14ac:dyDescent="0.2">
      <c r="A67" s="21" t="s">
        <v>166</v>
      </c>
      <c r="B67" s="22"/>
      <c r="C67" s="22"/>
      <c r="D67" s="22"/>
      <c r="E67" s="22"/>
      <c r="F67" s="22"/>
      <c r="G67" s="22"/>
      <c r="H67" s="22"/>
      <c r="I67" s="22"/>
      <c r="J67" s="55">
        <f>SUM(J57,J65)</f>
        <v>10421502.672</v>
      </c>
      <c r="L67" s="113" t="s">
        <v>166</v>
      </c>
      <c r="M67" s="22"/>
      <c r="N67" s="44"/>
      <c r="O67" s="22"/>
      <c r="P67" s="55">
        <f>SUM(P57,P65)</f>
        <v>1967460.3599999999</v>
      </c>
      <c r="R67" s="113" t="s">
        <v>166</v>
      </c>
      <c r="S67" s="22"/>
      <c r="T67" s="44"/>
      <c r="U67" s="22"/>
      <c r="V67" s="55">
        <f>SUM(V57,V65)</f>
        <v>15652881.84</v>
      </c>
    </row>
    <row r="68" spans="1:22" ht="9" customHeight="1" x14ac:dyDescent="0.2">
      <c r="J68" s="6"/>
      <c r="P68" s="6"/>
      <c r="V68" s="6"/>
    </row>
    <row r="69" spans="1:22" x14ac:dyDescent="0.2">
      <c r="J69" s="6"/>
      <c r="L69" s="315" t="s">
        <v>82</v>
      </c>
      <c r="M69" s="315"/>
      <c r="N69" s="315" t="s">
        <v>127</v>
      </c>
      <c r="O69" s="315"/>
      <c r="P69" s="35" t="s">
        <v>128</v>
      </c>
      <c r="V69" s="6"/>
    </row>
    <row r="70" spans="1:22" x14ac:dyDescent="0.2">
      <c r="J70" s="6"/>
      <c r="L70" s="157" t="s">
        <v>167</v>
      </c>
      <c r="M70" s="158"/>
      <c r="N70" s="158"/>
      <c r="O70" s="158"/>
      <c r="P70" s="159"/>
      <c r="V70" s="6"/>
    </row>
    <row r="71" spans="1:22" x14ac:dyDescent="0.2">
      <c r="A71" s="27" t="s">
        <v>131</v>
      </c>
      <c r="B71" s="28"/>
      <c r="C71" s="28"/>
      <c r="D71" s="28"/>
      <c r="E71" s="28"/>
      <c r="J71" s="6"/>
      <c r="L71" s="170"/>
      <c r="M71" s="136"/>
      <c r="N71" s="137"/>
      <c r="O71" s="136"/>
      <c r="P71" s="171"/>
      <c r="V71" s="6"/>
    </row>
    <row r="72" spans="1:22" x14ac:dyDescent="0.2">
      <c r="A72" s="241"/>
      <c r="B72" s="36" t="s">
        <v>168</v>
      </c>
      <c r="J72" s="6"/>
      <c r="L72" s="97">
        <f>INDEX('Rates Lookup'!$C$26:$Y$26,1,MATCH($P$6,'Rates Lookup'!$C$1:$Y$1,0))</f>
        <v>3.472</v>
      </c>
      <c r="M72" s="17" t="s">
        <v>119</v>
      </c>
      <c r="N72" s="39">
        <f>N$26</f>
        <v>884760</v>
      </c>
      <c r="O72" s="16" t="str">
        <f>O$26</f>
        <v>MWh</v>
      </c>
      <c r="P72" s="50">
        <f>L72*N72</f>
        <v>3071886.72</v>
      </c>
      <c r="V72" s="6"/>
    </row>
    <row r="73" spans="1:22" x14ac:dyDescent="0.2">
      <c r="A73" s="115"/>
      <c r="B73" s="242" t="s">
        <v>169</v>
      </c>
      <c r="C73" s="16"/>
      <c r="D73" s="16"/>
      <c r="E73" s="16"/>
      <c r="J73" s="6"/>
      <c r="L73" s="97">
        <f>INDEX('Rates Lookup'!$C$5:$Y$5,1,MATCH($P$6,'Rates Lookup'!$C$1:$Y$1,0))</f>
        <v>1.22</v>
      </c>
      <c r="M73" s="17" t="s">
        <v>119</v>
      </c>
      <c r="N73" s="39">
        <f>N$26</f>
        <v>884760</v>
      </c>
      <c r="O73" s="16" t="str">
        <f>O$26</f>
        <v>MWh</v>
      </c>
      <c r="P73" s="50">
        <f>L73*N73</f>
        <v>1079407.2</v>
      </c>
      <c r="V73" s="6"/>
    </row>
    <row r="74" spans="1:22" x14ac:dyDescent="0.2">
      <c r="A74" s="27" t="s">
        <v>136</v>
      </c>
      <c r="B74" s="28"/>
      <c r="C74" s="28"/>
      <c r="D74" s="28"/>
      <c r="E74" s="28"/>
      <c r="J74" s="6"/>
      <c r="L74" s="100"/>
      <c r="M74" s="4"/>
      <c r="N74" s="37"/>
      <c r="O74" s="4"/>
      <c r="P74" s="172"/>
      <c r="V74" s="6"/>
    </row>
    <row r="75" spans="1:22" x14ac:dyDescent="0.2">
      <c r="A75" s="14"/>
      <c r="B75" s="36" t="s">
        <v>168</v>
      </c>
      <c r="J75" s="6"/>
      <c r="L75" s="97">
        <f>INDEX('Rates Lookup'!$C$27:$Y$27,1,MATCH($P$6,'Rates Lookup'!$C$1:$Y$1,0))</f>
        <v>1.5820000000000001</v>
      </c>
      <c r="M75" s="17" t="s">
        <v>119</v>
      </c>
      <c r="N75" s="39">
        <f>N$26</f>
        <v>884760</v>
      </c>
      <c r="O75" s="16" t="str">
        <f>O$26</f>
        <v>MWh</v>
      </c>
      <c r="P75" s="50">
        <f>L75*N75</f>
        <v>1399690.32</v>
      </c>
      <c r="V75" s="6"/>
    </row>
    <row r="76" spans="1:22" x14ac:dyDescent="0.2">
      <c r="A76" s="115"/>
      <c r="B76" s="242" t="s">
        <v>169</v>
      </c>
      <c r="C76" s="16"/>
      <c r="D76" s="16"/>
      <c r="E76" s="16"/>
      <c r="J76" s="6"/>
      <c r="L76" s="97">
        <f>INDEX('Rates Lookup'!$C$7:$Y$7,1,MATCH($P$6,'Rates Lookup'!$C$1:$Y$1,0))</f>
        <v>0.92</v>
      </c>
      <c r="M76" s="17" t="s">
        <v>119</v>
      </c>
      <c r="N76" s="39">
        <f>N$26</f>
        <v>884760</v>
      </c>
      <c r="O76" s="16" t="str">
        <f>O$26</f>
        <v>MWh</v>
      </c>
      <c r="P76" s="50">
        <f>L76*N76</f>
        <v>813979.20000000007</v>
      </c>
      <c r="V76" s="6"/>
    </row>
    <row r="77" spans="1:22" x14ac:dyDescent="0.2">
      <c r="J77" s="6"/>
      <c r="L77" s="100"/>
      <c r="M77" s="4"/>
      <c r="N77" s="37"/>
      <c r="O77" s="4"/>
      <c r="P77" s="172"/>
      <c r="V77" s="6"/>
    </row>
    <row r="78" spans="1:22" ht="12.75" customHeight="1" x14ac:dyDescent="0.2">
      <c r="J78" s="6"/>
      <c r="L78" s="113" t="s">
        <v>150</v>
      </c>
      <c r="M78" s="22"/>
      <c r="N78" s="44"/>
      <c r="O78" s="22"/>
      <c r="P78" s="55">
        <f>SUM(P72:P76)</f>
        <v>6364963.4400000004</v>
      </c>
      <c r="V78" s="6"/>
    </row>
    <row r="79" spans="1:22" ht="12.75" customHeight="1" x14ac:dyDescent="0.2">
      <c r="J79" s="6"/>
      <c r="L79" s="6"/>
      <c r="M79" s="6"/>
      <c r="N79" s="6"/>
      <c r="O79" s="6"/>
      <c r="P79" s="6"/>
      <c r="V79" s="6"/>
    </row>
    <row r="80" spans="1:22" x14ac:dyDescent="0.2">
      <c r="A80" s="4" t="s">
        <v>151</v>
      </c>
      <c r="C80" s="4"/>
      <c r="D80" s="4"/>
      <c r="E80" s="4"/>
      <c r="J80" s="6"/>
      <c r="L80" s="6"/>
      <c r="M80" s="6"/>
      <c r="N80" s="6"/>
      <c r="O80" s="6"/>
      <c r="P80" s="6"/>
      <c r="V80" s="6"/>
    </row>
    <row r="81" spans="1:22" x14ac:dyDescent="0.2">
      <c r="A81" s="9" t="s">
        <v>152</v>
      </c>
      <c r="B81" s="10" t="s">
        <v>110</v>
      </c>
      <c r="C81" s="10"/>
      <c r="D81" s="46" t="s">
        <v>153</v>
      </c>
      <c r="E81" s="56">
        <f>INDEX('Rates Lookup'!$C$19:$Y$19,1,MATCH($J$6,'Rates Lookup'!$C$1:$Y$1,0))</f>
        <v>7.1800000000000003E-2</v>
      </c>
      <c r="J81" s="6"/>
      <c r="L81" s="101">
        <f>F49</f>
        <v>30</v>
      </c>
      <c r="M81" s="45" t="s">
        <v>119</v>
      </c>
      <c r="N81" s="42">
        <f>N26</f>
        <v>884760</v>
      </c>
      <c r="O81" s="10" t="str">
        <f>O26</f>
        <v>MWh</v>
      </c>
      <c r="P81" s="53">
        <f>E81*L81*N81</f>
        <v>1905773.04</v>
      </c>
      <c r="V81" s="6"/>
    </row>
    <row r="82" spans="1:22" x14ac:dyDescent="0.2">
      <c r="A82" s="4" t="s">
        <v>154</v>
      </c>
      <c r="C82" s="4"/>
      <c r="D82" s="4"/>
      <c r="E82" s="4"/>
      <c r="J82" s="6"/>
      <c r="L82" s="6"/>
      <c r="M82" s="6"/>
      <c r="N82" s="6"/>
      <c r="O82" s="6"/>
      <c r="P82" s="6"/>
      <c r="V82" s="6"/>
    </row>
    <row r="83" spans="1:22" x14ac:dyDescent="0.2">
      <c r="A83" s="9" t="s">
        <v>155</v>
      </c>
      <c r="B83" s="10" t="s">
        <v>110</v>
      </c>
      <c r="C83" s="10"/>
      <c r="D83" s="10"/>
      <c r="E83" s="10"/>
      <c r="J83" s="6"/>
      <c r="L83" s="6"/>
      <c r="M83" s="6"/>
      <c r="N83" s="6"/>
      <c r="O83" s="6"/>
      <c r="P83" s="6"/>
      <c r="V83" s="6"/>
    </row>
    <row r="84" spans="1:22" x14ac:dyDescent="0.2">
      <c r="A84" s="4" t="s">
        <v>156</v>
      </c>
      <c r="C84" s="4"/>
      <c r="D84" s="4"/>
      <c r="E84" s="4"/>
      <c r="J84" s="6"/>
      <c r="L84" s="6"/>
      <c r="M84" s="6"/>
      <c r="N84" s="6"/>
      <c r="O84" s="6"/>
      <c r="P84" s="6"/>
      <c r="V84" s="6"/>
    </row>
    <row r="85" spans="1:22" x14ac:dyDescent="0.2">
      <c r="A85" s="9" t="s">
        <v>157</v>
      </c>
      <c r="B85" s="10" t="s">
        <v>110</v>
      </c>
      <c r="C85" s="10"/>
      <c r="D85" s="10"/>
      <c r="E85" s="10"/>
      <c r="J85" s="6"/>
      <c r="L85" s="6"/>
      <c r="M85" s="6"/>
      <c r="N85" s="6"/>
      <c r="O85" s="6"/>
      <c r="P85" s="6"/>
      <c r="V85" s="6"/>
    </row>
    <row r="86" spans="1:22" x14ac:dyDescent="0.2">
      <c r="A86" s="4" t="s">
        <v>158</v>
      </c>
      <c r="B86" s="4"/>
      <c r="C86" s="4"/>
      <c r="D86" s="4"/>
      <c r="E86" s="4"/>
      <c r="J86" s="6"/>
      <c r="L86" s="6"/>
      <c r="M86" s="6"/>
      <c r="N86" s="6"/>
      <c r="O86" s="6"/>
      <c r="P86" s="6"/>
      <c r="V86" s="6"/>
    </row>
    <row r="87" spans="1:22" x14ac:dyDescent="0.2">
      <c r="A87" s="114" t="s">
        <v>159</v>
      </c>
      <c r="B87" s="12" t="s">
        <v>103</v>
      </c>
      <c r="C87" s="12"/>
      <c r="D87" s="12"/>
      <c r="E87" s="12"/>
      <c r="J87" s="6"/>
      <c r="L87" s="6"/>
      <c r="M87" s="6"/>
      <c r="N87" s="6"/>
      <c r="O87" s="6"/>
      <c r="P87" s="6"/>
      <c r="V87" s="6"/>
    </row>
    <row r="88" spans="1:22" x14ac:dyDescent="0.2">
      <c r="A88" s="4" t="s">
        <v>170</v>
      </c>
      <c r="C88" s="4"/>
      <c r="D88" s="4"/>
      <c r="E88" s="4"/>
      <c r="J88" s="6"/>
      <c r="L88" s="6"/>
      <c r="M88" s="6"/>
      <c r="N88" s="6"/>
      <c r="O88" s="6"/>
      <c r="P88" s="6"/>
      <c r="V88" s="6"/>
    </row>
    <row r="89" spans="1:22" x14ac:dyDescent="0.2">
      <c r="A89" s="9" t="s">
        <v>152</v>
      </c>
      <c r="B89" s="10" t="s">
        <v>110</v>
      </c>
      <c r="C89" s="10"/>
      <c r="D89" s="46" t="s">
        <v>153</v>
      </c>
      <c r="E89" s="56">
        <f>N29</f>
        <v>0.02</v>
      </c>
      <c r="J89" s="6"/>
      <c r="L89" s="101">
        <f>L49</f>
        <v>30</v>
      </c>
      <c r="M89" s="45" t="s">
        <v>119</v>
      </c>
      <c r="N89" s="42">
        <f>N26</f>
        <v>884760</v>
      </c>
      <c r="O89" s="10" t="str">
        <f>O26</f>
        <v>MWh</v>
      </c>
      <c r="P89" s="53">
        <f>E89*L89*N89</f>
        <v>530856</v>
      </c>
      <c r="V89" s="6"/>
    </row>
    <row r="90" spans="1:22" x14ac:dyDescent="0.2">
      <c r="A90" s="21"/>
      <c r="B90" s="22"/>
      <c r="C90" s="22"/>
      <c r="D90" s="22"/>
      <c r="E90" s="22"/>
      <c r="J90" s="6"/>
      <c r="L90" s="113" t="s">
        <v>171</v>
      </c>
      <c r="M90" s="22"/>
      <c r="N90" s="44"/>
      <c r="O90" s="22"/>
      <c r="P90" s="55">
        <f>SUM(P78,P81,P89)</f>
        <v>8801592.4800000004</v>
      </c>
      <c r="V90" s="6"/>
    </row>
    <row r="91" spans="1:22" ht="9" customHeight="1" x14ac:dyDescent="0.2">
      <c r="J91" s="6"/>
      <c r="P91" s="6"/>
      <c r="V91" s="6"/>
    </row>
    <row r="92" spans="1:22" x14ac:dyDescent="0.2">
      <c r="A92" s="179" t="s">
        <v>172</v>
      </c>
      <c r="B92" s="154"/>
      <c r="C92" s="154"/>
      <c r="D92" s="154"/>
      <c r="E92" s="154"/>
      <c r="F92" s="180"/>
      <c r="G92" s="154"/>
      <c r="H92" s="155"/>
      <c r="I92" s="154"/>
      <c r="J92" s="156">
        <f>J57+J65</f>
        <v>10421502.672</v>
      </c>
      <c r="L92" s="153" t="s">
        <v>172</v>
      </c>
      <c r="M92" s="154"/>
      <c r="N92" s="155"/>
      <c r="O92" s="154"/>
      <c r="P92" s="156">
        <f>SUM(P67,P90)</f>
        <v>10769052.84</v>
      </c>
      <c r="R92" s="153" t="s">
        <v>172</v>
      </c>
      <c r="S92" s="154"/>
      <c r="T92" s="155"/>
      <c r="U92" s="154"/>
      <c r="V92" s="156">
        <f>SUM(V67,V90)</f>
        <v>15652881.84</v>
      </c>
    </row>
    <row r="93" spans="1:22" ht="12.75" customHeight="1" x14ac:dyDescent="0.2">
      <c r="J93" s="6"/>
      <c r="L93" s="173" t="s">
        <v>173</v>
      </c>
      <c r="M93" s="141"/>
      <c r="N93" s="141"/>
      <c r="O93" s="141"/>
      <c r="P93" s="174">
        <f>P92/J92-1</f>
        <v>3.3349333482759702E-2</v>
      </c>
      <c r="R93" s="173" t="s">
        <v>173</v>
      </c>
      <c r="S93" s="141"/>
      <c r="T93" s="141"/>
      <c r="U93" s="141"/>
      <c r="V93" s="174">
        <f>V92/P92-1</f>
        <v>0.45350589996733648</v>
      </c>
    </row>
    <row r="94" spans="1:22" ht="9" customHeight="1" x14ac:dyDescent="0.2">
      <c r="J94" s="6"/>
      <c r="P94" s="6"/>
      <c r="V94" s="6"/>
    </row>
    <row r="95" spans="1:22" x14ac:dyDescent="0.2">
      <c r="A95" s="181" t="s">
        <v>174</v>
      </c>
      <c r="B95" s="182"/>
      <c r="C95" s="182"/>
      <c r="D95" s="182"/>
      <c r="E95" s="182"/>
      <c r="F95" s="183">
        <f>H20</f>
        <v>30</v>
      </c>
      <c r="G95" s="182" t="str">
        <f>I20</f>
        <v>/MWh</v>
      </c>
      <c r="H95" s="184">
        <f>H17</f>
        <v>756863.99999999988</v>
      </c>
      <c r="I95" s="185" t="str">
        <f>I17</f>
        <v>MWh</v>
      </c>
      <c r="J95" s="186">
        <f>F95*H95</f>
        <v>22705919.999999996</v>
      </c>
      <c r="L95" s="146" t="s">
        <v>174</v>
      </c>
      <c r="M95" s="147"/>
      <c r="N95" s="148">
        <f>N17+N26</f>
        <v>946080</v>
      </c>
      <c r="O95" s="149" t="s">
        <v>111</v>
      </c>
      <c r="P95" s="150">
        <f>N95*$F95</f>
        <v>28382400</v>
      </c>
      <c r="R95" s="146" t="s">
        <v>174</v>
      </c>
      <c r="S95" s="147"/>
      <c r="T95" s="148">
        <f>T17</f>
        <v>946080</v>
      </c>
      <c r="U95" s="149" t="s">
        <v>111</v>
      </c>
      <c r="V95" s="150">
        <f>T95*$F95</f>
        <v>28382400</v>
      </c>
    </row>
    <row r="96" spans="1:22" ht="9" customHeight="1" x14ac:dyDescent="0.2">
      <c r="J96" s="6"/>
      <c r="P96" s="6"/>
      <c r="V96" s="6"/>
    </row>
    <row r="97" spans="1:22" x14ac:dyDescent="0.2">
      <c r="A97" s="175" t="s">
        <v>175</v>
      </c>
      <c r="B97" s="175"/>
      <c r="C97" s="175"/>
      <c r="D97" s="175"/>
      <c r="E97" s="175"/>
      <c r="F97" s="175"/>
      <c r="G97" s="175"/>
      <c r="H97" s="175"/>
      <c r="I97" s="175"/>
      <c r="J97" s="176">
        <f>SUM(J92,J95)</f>
        <v>33127422.671999998</v>
      </c>
      <c r="L97" s="175" t="s">
        <v>175</v>
      </c>
      <c r="M97" s="175"/>
      <c r="N97" s="175"/>
      <c r="O97" s="175"/>
      <c r="P97" s="176">
        <f>SUM(P92,P95)</f>
        <v>39151452.840000004</v>
      </c>
      <c r="R97" s="175" t="s">
        <v>175</v>
      </c>
      <c r="S97" s="175"/>
      <c r="T97" s="175"/>
      <c r="U97" s="175"/>
      <c r="V97" s="176">
        <f>SUM(V92,V95)</f>
        <v>44035281.840000004</v>
      </c>
    </row>
    <row r="98" spans="1:22" ht="12.75" customHeight="1" x14ac:dyDescent="0.2">
      <c r="J98" s="6"/>
      <c r="L98" s="116" t="s">
        <v>176</v>
      </c>
      <c r="M98" s="132"/>
      <c r="N98" s="132"/>
      <c r="O98" s="132"/>
      <c r="P98" s="117">
        <f>P97/J97-1</f>
        <v>0.18184421491659375</v>
      </c>
      <c r="R98" s="175" t="s">
        <v>176</v>
      </c>
      <c r="S98" s="177"/>
      <c r="T98" s="177"/>
      <c r="U98" s="177"/>
      <c r="V98" s="178">
        <f>V97/P97-1</f>
        <v>0.12474196091671774</v>
      </c>
    </row>
    <row r="99" spans="1:22" ht="13.5" thickBot="1" x14ac:dyDescent="0.25"/>
    <row r="100" spans="1:22" x14ac:dyDescent="0.2">
      <c r="L100" s="187" t="s">
        <v>177</v>
      </c>
      <c r="M100" s="188"/>
      <c r="N100" s="188"/>
      <c r="O100" s="188"/>
      <c r="P100" s="189">
        <f>P92-J92</f>
        <v>347550.1679999996</v>
      </c>
      <c r="R100" s="187" t="s">
        <v>178</v>
      </c>
      <c r="S100" s="188"/>
      <c r="T100" s="188"/>
      <c r="U100" s="188"/>
      <c r="V100" s="189">
        <f>P92-V92</f>
        <v>-4883829</v>
      </c>
    </row>
    <row r="101" spans="1:22" x14ac:dyDescent="0.2">
      <c r="L101" s="190"/>
      <c r="M101" s="191"/>
      <c r="N101" s="191"/>
      <c r="O101" s="191"/>
      <c r="P101" s="192"/>
      <c r="R101" s="190"/>
      <c r="S101" s="191"/>
      <c r="T101" s="191"/>
      <c r="U101" s="191"/>
      <c r="V101" s="192"/>
    </row>
    <row r="102" spans="1:22" x14ac:dyDescent="0.2">
      <c r="L102" s="190" t="s">
        <v>179</v>
      </c>
      <c r="M102" s="191"/>
      <c r="N102" s="191"/>
      <c r="O102" s="191"/>
      <c r="P102" s="193">
        <f>SUM(P35:P36,P72:P73)-SUM(J35:J36)</f>
        <v>3642779.0400000005</v>
      </c>
      <c r="R102" s="190" t="s">
        <v>179</v>
      </c>
      <c r="S102" s="191"/>
      <c r="T102" s="191"/>
      <c r="U102" s="191"/>
      <c r="V102" s="193">
        <f>SUM(P35:P36,P72:P73)-SUM(V35:V36)</f>
        <v>-982541.27999999933</v>
      </c>
    </row>
    <row r="103" spans="1:22" x14ac:dyDescent="0.2">
      <c r="L103" s="190" t="s">
        <v>180</v>
      </c>
      <c r="M103" s="191"/>
      <c r="N103" s="191"/>
      <c r="O103" s="191"/>
      <c r="P103" s="193">
        <f>SUM(P38:P39,P75:P76)-SUM(J38:J39)</f>
        <v>-2176350.9599999995</v>
      </c>
      <c r="R103" s="190" t="s">
        <v>180</v>
      </c>
      <c r="S103" s="191"/>
      <c r="T103" s="191"/>
      <c r="U103" s="191"/>
      <c r="V103" s="193">
        <f>SUM(P38:P39,P75:P76)-SUM(V38:V39)</f>
        <v>-2350429.6799999992</v>
      </c>
    </row>
    <row r="104" spans="1:22" x14ac:dyDescent="0.2">
      <c r="L104" s="190" t="s">
        <v>181</v>
      </c>
      <c r="M104" s="191"/>
      <c r="N104" s="191"/>
      <c r="O104" s="191"/>
      <c r="P104" s="193">
        <f>SUM(P41:P45,P60:P64)-SUM($J41:$J45,J60:J64)</f>
        <v>-1898940</v>
      </c>
      <c r="R104" s="190" t="s">
        <v>181</v>
      </c>
      <c r="S104" s="191"/>
      <c r="T104" s="191"/>
      <c r="U104" s="191"/>
      <c r="V104" s="193">
        <f>SUM($P41:$P45,P60:P64)-SUM(V41:V45,V60:V64)</f>
        <v>-1898940</v>
      </c>
    </row>
    <row r="105" spans="1:22" x14ac:dyDescent="0.2">
      <c r="L105" s="190" t="s">
        <v>182</v>
      </c>
      <c r="M105" s="191"/>
      <c r="N105" s="191"/>
      <c r="O105" s="191"/>
      <c r="P105" s="193">
        <f>SUM(P49,P51,P53,P55,P56,P81,P89)-SUM(J49,J51,J53,J55,J56)</f>
        <v>780062.08800000045</v>
      </c>
      <c r="R105" s="190" t="s">
        <v>182</v>
      </c>
      <c r="S105" s="191"/>
      <c r="T105" s="191"/>
      <c r="U105" s="191"/>
      <c r="V105" s="193">
        <f>SUM(P49,P51,P53,P55,P56,P81,P89)-SUM(V49,V51,V53,V55,V56)</f>
        <v>348081.96000000043</v>
      </c>
    </row>
    <row r="106" spans="1:22" ht="13.5" thickBot="1" x14ac:dyDescent="0.25">
      <c r="L106" s="194"/>
      <c r="M106" s="195"/>
      <c r="N106" s="195"/>
      <c r="O106" s="195"/>
      <c r="P106" s="196">
        <f>SUM(P102:P105)</f>
        <v>347550.16800000146</v>
      </c>
      <c r="R106" s="194"/>
      <c r="S106" s="195"/>
      <c r="T106" s="195"/>
      <c r="U106" s="195"/>
      <c r="V106" s="196">
        <f>SUM(V102:V105)</f>
        <v>-4883828.9999999981</v>
      </c>
    </row>
  </sheetData>
  <mergeCells count="20">
    <mergeCell ref="C1:E1"/>
    <mergeCell ref="L9:P9"/>
    <mergeCell ref="L10:P10"/>
    <mergeCell ref="H11:I11"/>
    <mergeCell ref="N11:O11"/>
    <mergeCell ref="A32:J32"/>
    <mergeCell ref="L69:M69"/>
    <mergeCell ref="N69:O69"/>
    <mergeCell ref="H24:I24"/>
    <mergeCell ref="N24:O24"/>
    <mergeCell ref="A31:E31"/>
    <mergeCell ref="F31:G31"/>
    <mergeCell ref="H31:I31"/>
    <mergeCell ref="L31:M31"/>
    <mergeCell ref="N31:O31"/>
    <mergeCell ref="R9:V9"/>
    <mergeCell ref="R10:V10"/>
    <mergeCell ref="T11:U11"/>
    <mergeCell ref="R31:S31"/>
    <mergeCell ref="T31:U31"/>
  </mergeCells>
  <conditionalFormatting sqref="A59:J64">
    <cfRule type="expression" dxfId="4" priority="7">
      <formula>$H$13="No"</formula>
    </cfRule>
  </conditionalFormatting>
  <conditionalFormatting sqref="L60:L64">
    <cfRule type="expression" dxfId="3" priority="8">
      <formula>$H$13="No"</formula>
    </cfRule>
  </conditionalFormatting>
  <conditionalFormatting sqref="L59:P59 M60:P64">
    <cfRule type="expression" dxfId="2" priority="10">
      <formula>$N$13="No"</formula>
    </cfRule>
  </conditionalFormatting>
  <conditionalFormatting sqref="R60:R64">
    <cfRule type="expression" dxfId="1" priority="1">
      <formula>$H$13="No"</formula>
    </cfRule>
  </conditionalFormatting>
  <conditionalFormatting sqref="R59:V59 S60:V64">
    <cfRule type="expression" dxfId="0" priority="3">
      <formula>$N$13="No"</formula>
    </cfRule>
  </conditionalFormatting>
  <dataValidations count="7">
    <dataValidation allowBlank="1" showErrorMessage="1" sqref="M12:M13 H13 M18:M19 T13" xr:uid="{6D4C7B90-71B1-45DA-8512-D6D9D0EDF5A1}"/>
    <dataValidation allowBlank="1" showErrorMessage="1" promptTitle="Reference" prompt="For more information, see the definition of metered demand in the Consolidated Authoritative Documents Glossary." sqref="M15:M16 G25:G29 H17 M25 G12:G21 S12:S21" xr:uid="{D2F6C0B6-F489-4089-9E65-98FF1CE35CFA}"/>
    <dataValidation allowBlank="1" showInputMessage="1" showErrorMessage="1" promptTitle="Reference" prompt="For more information, see subsection 4(2) of Rate DTS: Demand Transmission Service in the ISO tariff." sqref="M28:M29" xr:uid="{A5D5A3AC-7EAA-4CA5-96EC-BEE6DC7888CD}"/>
    <dataValidation allowBlank="1" showInputMessage="1" showErrorMessage="1" promptTitle="Reference" prompt="For more information, see the definition of pool price in the Consolidated Authoritative Documents Glossary." sqref="M27" xr:uid="{7BF55082-DBD4-4639-9782-71FB80CB2F03}"/>
    <dataValidation allowBlank="1" showInputMessage="1" showErrorMessage="1" promptTitle="Reference" prompt="For more information, see subsection 7(b) of Rate DTS: Demand Transmission Service in the ISO tariff." sqref="G19 S19" xr:uid="{27B0C7AF-CB35-4114-9860-3F2403EAC0E9}"/>
    <dataValidation allowBlank="1" showInputMessage="1" showErrorMessage="1" promptTitle="Reference" prompt="For more information, see the definition of billing capacity in the Consolidated Authoritative Documents Glossary." sqref="G17 G26 S17" xr:uid="{CDC960D8-7523-402A-A360-CECE6BCE788A}"/>
    <dataValidation allowBlank="1" showInputMessage="1" sqref="L9 F4 O6:P6 N6:N8 C1:H3 R9 U6:V6 T6:T8" xr:uid="{654B2FFF-60BF-44A7-A6A0-84992B40E5A5}"/>
  </dataValidations>
  <printOptions horizontalCentered="1"/>
  <pageMargins left="0.25" right="0.25" top="0.5" bottom="0.5" header="0.3" footer="0.3"/>
  <pageSetup scale="51" orientation="portrait" r:id="rId1"/>
  <headerFooter alignWithMargins="0">
    <oddFooter>&amp;L&amp;8Attachment to Bill Estimator for 2021 Tariff (AESO ID #2021-015T)
Filename: &amp;F — Page&amp;P of &amp;N&amp;R&amp;8Confidentiality: Proprietary When Completed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C485A2E-3269-4AB4-84F1-286B49356E41}">
          <x14:formula1>
            <xm:f>'Rates Lookup'!$H$1:$J$1</xm:f>
          </x14:formula1>
          <xm:sqref>J6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5"/>
  <sheetViews>
    <sheetView zoomScale="85" zoomScaleNormal="85" workbookViewId="0"/>
  </sheetViews>
  <sheetFormatPr defaultRowHeight="12.75" x14ac:dyDescent="0.2"/>
  <cols>
    <col min="1" max="1" width="40.5703125" bestFit="1" customWidth="1"/>
    <col min="2" max="2" width="37.42578125" bestFit="1" customWidth="1"/>
    <col min="3" max="3" width="13.5703125" customWidth="1"/>
    <col min="4" max="7" width="11.5703125" customWidth="1"/>
    <col min="8" max="8" width="13.5703125" customWidth="1"/>
    <col min="9" max="9" width="12.85546875" customWidth="1"/>
    <col min="10" max="10" width="14.28515625" bestFit="1" customWidth="1"/>
    <col min="11" max="11" width="16.140625" bestFit="1" customWidth="1"/>
  </cols>
  <sheetData>
    <row r="1" spans="1:11" ht="15" x14ac:dyDescent="0.25">
      <c r="A1" s="71"/>
      <c r="B1" s="71" t="s">
        <v>183</v>
      </c>
      <c r="C1" s="71">
        <v>2017</v>
      </c>
      <c r="D1" s="71">
        <v>2018</v>
      </c>
      <c r="E1" s="71">
        <v>2019</v>
      </c>
      <c r="F1" s="71">
        <v>2020</v>
      </c>
      <c r="G1" s="71">
        <v>2021</v>
      </c>
      <c r="H1" s="71">
        <v>2022</v>
      </c>
      <c r="I1" s="288">
        <v>2023</v>
      </c>
      <c r="J1" s="288">
        <v>2024</v>
      </c>
      <c r="K1" s="288" t="s">
        <v>89</v>
      </c>
    </row>
    <row r="2" spans="1:11" ht="15" x14ac:dyDescent="0.25">
      <c r="A2" s="71"/>
      <c r="B2" s="71" t="s">
        <v>184</v>
      </c>
      <c r="C2" s="72"/>
      <c r="D2" s="72"/>
      <c r="E2" s="72"/>
      <c r="F2" s="72"/>
      <c r="G2" s="94">
        <v>44197</v>
      </c>
      <c r="H2" s="94">
        <v>44562</v>
      </c>
      <c r="I2" s="94">
        <v>44927</v>
      </c>
      <c r="J2" s="94">
        <v>45292</v>
      </c>
      <c r="K2" s="94"/>
    </row>
    <row r="3" spans="1:11" ht="15" x14ac:dyDescent="0.25">
      <c r="A3" s="71"/>
      <c r="B3" s="71" t="s">
        <v>185</v>
      </c>
      <c r="C3" s="72"/>
      <c r="D3" s="72"/>
      <c r="E3" s="72"/>
      <c r="F3" s="72"/>
      <c r="G3" s="94">
        <v>44561</v>
      </c>
      <c r="H3" s="94">
        <v>44926</v>
      </c>
      <c r="I3" s="289">
        <v>45291</v>
      </c>
      <c r="J3" s="290" t="s">
        <v>186</v>
      </c>
      <c r="K3" s="290"/>
    </row>
    <row r="4" spans="1:11" ht="15" x14ac:dyDescent="0.25">
      <c r="A4" s="71" t="s">
        <v>131</v>
      </c>
      <c r="B4" s="71" t="s">
        <v>106</v>
      </c>
      <c r="C4" s="164"/>
      <c r="D4" s="164"/>
      <c r="E4" s="164"/>
      <c r="F4" s="164"/>
      <c r="G4" s="164">
        <v>11085</v>
      </c>
      <c r="H4" s="164">
        <v>10501</v>
      </c>
      <c r="I4" s="164">
        <v>10840</v>
      </c>
      <c r="J4" s="164">
        <v>10899</v>
      </c>
      <c r="K4" s="73"/>
    </row>
    <row r="5" spans="1:11" ht="15" x14ac:dyDescent="0.25">
      <c r="A5" s="71" t="s">
        <v>131</v>
      </c>
      <c r="B5" s="291" t="s">
        <v>110</v>
      </c>
      <c r="C5" s="73"/>
      <c r="D5" s="73"/>
      <c r="E5" s="73"/>
      <c r="F5" s="73"/>
      <c r="G5" s="73">
        <v>1.22</v>
      </c>
      <c r="H5" s="73">
        <v>1.1499999999999999</v>
      </c>
      <c r="I5" s="73">
        <v>1.18</v>
      </c>
      <c r="J5" s="73">
        <v>1.22</v>
      </c>
      <c r="K5" s="73">
        <v>1.22</v>
      </c>
    </row>
    <row r="6" spans="1:11" ht="15" x14ac:dyDescent="0.25">
      <c r="A6" s="71" t="s">
        <v>136</v>
      </c>
      <c r="B6" s="71" t="s">
        <v>113</v>
      </c>
      <c r="C6" s="164"/>
      <c r="D6" s="164"/>
      <c r="E6" s="164"/>
      <c r="F6" s="164"/>
      <c r="G6" s="164">
        <v>2893</v>
      </c>
      <c r="H6" s="164">
        <v>2775</v>
      </c>
      <c r="I6" s="164">
        <v>2844</v>
      </c>
      <c r="J6" s="164">
        <v>2841</v>
      </c>
      <c r="K6" s="164"/>
    </row>
    <row r="7" spans="1:11" ht="15" x14ac:dyDescent="0.25">
      <c r="A7" s="71" t="s">
        <v>136</v>
      </c>
      <c r="B7" s="291" t="s">
        <v>110</v>
      </c>
      <c r="C7" s="73"/>
      <c r="D7" s="73"/>
      <c r="E7" s="73"/>
      <c r="F7" s="73"/>
      <c r="G7" s="73">
        <v>0.93</v>
      </c>
      <c r="H7" s="73">
        <v>0.87</v>
      </c>
      <c r="I7" s="73">
        <v>0.9</v>
      </c>
      <c r="J7" s="73">
        <v>0.92</v>
      </c>
      <c r="K7" s="73">
        <v>0.92</v>
      </c>
    </row>
    <row r="8" spans="1:11" ht="15" x14ac:dyDescent="0.25">
      <c r="A8" s="71" t="s">
        <v>187</v>
      </c>
      <c r="B8" s="71" t="s">
        <v>188</v>
      </c>
      <c r="C8" s="163"/>
      <c r="D8" s="163"/>
      <c r="E8" s="163"/>
      <c r="F8" s="163"/>
      <c r="G8" s="163">
        <v>14860</v>
      </c>
      <c r="H8" s="163">
        <v>14332</v>
      </c>
      <c r="I8" s="163">
        <v>14728</v>
      </c>
      <c r="J8" s="163">
        <v>14641</v>
      </c>
      <c r="K8" s="163"/>
    </row>
    <row r="9" spans="1:11" ht="15" x14ac:dyDescent="0.25">
      <c r="A9" s="71" t="s">
        <v>187</v>
      </c>
      <c r="B9" s="71" t="s">
        <v>189</v>
      </c>
      <c r="C9" s="163"/>
      <c r="D9" s="163"/>
      <c r="E9" s="163"/>
      <c r="F9" s="163"/>
      <c r="G9" s="163">
        <v>4891</v>
      </c>
      <c r="H9" s="163">
        <v>4717</v>
      </c>
      <c r="I9" s="163">
        <v>4847</v>
      </c>
      <c r="J9" s="163">
        <v>4819</v>
      </c>
      <c r="K9" s="163"/>
    </row>
    <row r="10" spans="1:11" ht="15" x14ac:dyDescent="0.25">
      <c r="A10" s="71" t="s">
        <v>187</v>
      </c>
      <c r="B10" s="71" t="s">
        <v>190</v>
      </c>
      <c r="C10" s="163"/>
      <c r="D10" s="163"/>
      <c r="E10" s="163"/>
      <c r="F10" s="163"/>
      <c r="G10" s="163">
        <v>2900</v>
      </c>
      <c r="H10" s="163">
        <v>2797</v>
      </c>
      <c r="I10" s="163">
        <v>2875</v>
      </c>
      <c r="J10" s="163">
        <v>2858</v>
      </c>
      <c r="K10" s="163"/>
    </row>
    <row r="11" spans="1:11" ht="15" x14ac:dyDescent="0.25">
      <c r="A11" s="71" t="s">
        <v>187</v>
      </c>
      <c r="B11" s="71" t="s">
        <v>191</v>
      </c>
      <c r="C11" s="163"/>
      <c r="D11" s="163"/>
      <c r="E11" s="163"/>
      <c r="F11" s="163"/>
      <c r="G11" s="163">
        <v>1942</v>
      </c>
      <c r="H11" s="163">
        <v>1873</v>
      </c>
      <c r="I11" s="163">
        <v>1924</v>
      </c>
      <c r="J11" s="163">
        <v>1913</v>
      </c>
      <c r="K11" s="163"/>
    </row>
    <row r="12" spans="1:11" ht="15" x14ac:dyDescent="0.25">
      <c r="A12" s="71" t="s">
        <v>187</v>
      </c>
      <c r="B12" s="71" t="s">
        <v>192</v>
      </c>
      <c r="C12" s="163"/>
      <c r="D12" s="163"/>
      <c r="E12" s="163"/>
      <c r="F12" s="163"/>
      <c r="G12" s="163">
        <v>1195</v>
      </c>
      <c r="H12" s="163">
        <v>1153</v>
      </c>
      <c r="I12" s="163">
        <v>1185</v>
      </c>
      <c r="J12" s="163">
        <v>1178</v>
      </c>
      <c r="K12" s="163"/>
    </row>
    <row r="13" spans="1:11" ht="15" x14ac:dyDescent="0.25">
      <c r="A13" s="71" t="s">
        <v>193</v>
      </c>
      <c r="B13" s="71" t="s">
        <v>188</v>
      </c>
      <c r="C13" s="163"/>
      <c r="D13" s="163"/>
      <c r="E13" s="163"/>
      <c r="F13" s="163"/>
      <c r="G13" s="163">
        <v>-11739</v>
      </c>
      <c r="H13" s="163">
        <v>-11322</v>
      </c>
      <c r="I13" s="163">
        <v>-11635</v>
      </c>
      <c r="J13" s="163">
        <v>-11566</v>
      </c>
      <c r="K13" s="163"/>
    </row>
    <row r="14" spans="1:11" ht="15" x14ac:dyDescent="0.25">
      <c r="A14" s="71" t="s">
        <v>193</v>
      </c>
      <c r="B14" s="71" t="s">
        <v>189</v>
      </c>
      <c r="C14" s="163"/>
      <c r="D14" s="163"/>
      <c r="E14" s="163"/>
      <c r="F14" s="163"/>
      <c r="G14" s="163">
        <v>-3864</v>
      </c>
      <c r="H14" s="163">
        <v>-3726</v>
      </c>
      <c r="I14" s="163">
        <v>-3829</v>
      </c>
      <c r="J14" s="163">
        <v>-3807</v>
      </c>
      <c r="K14" s="163"/>
    </row>
    <row r="15" spans="1:11" ht="15" x14ac:dyDescent="0.25">
      <c r="A15" s="71" t="s">
        <v>193</v>
      </c>
      <c r="B15" s="71" t="s">
        <v>190</v>
      </c>
      <c r="C15" s="163"/>
      <c r="D15" s="163"/>
      <c r="E15" s="163"/>
      <c r="F15" s="163"/>
      <c r="G15" s="163">
        <v>-2291</v>
      </c>
      <c r="H15" s="163">
        <v>-2210</v>
      </c>
      <c r="I15" s="163">
        <v>-2271</v>
      </c>
      <c r="J15" s="163">
        <v>-2258</v>
      </c>
      <c r="K15" s="163"/>
    </row>
    <row r="16" spans="1:11" ht="15" x14ac:dyDescent="0.25">
      <c r="A16" s="71" t="s">
        <v>193</v>
      </c>
      <c r="B16" s="71" t="s">
        <v>191</v>
      </c>
      <c r="C16" s="163"/>
      <c r="D16" s="163"/>
      <c r="E16" s="163"/>
      <c r="F16" s="163"/>
      <c r="G16" s="163">
        <v>-1534</v>
      </c>
      <c r="H16" s="163">
        <v>-1480</v>
      </c>
      <c r="I16" s="163">
        <v>-1520</v>
      </c>
      <c r="J16" s="163">
        <v>-1511</v>
      </c>
      <c r="K16" s="163"/>
    </row>
    <row r="17" spans="1:12" ht="15" x14ac:dyDescent="0.25">
      <c r="A17" s="71" t="s">
        <v>193</v>
      </c>
      <c r="B17" s="71" t="s">
        <v>192</v>
      </c>
      <c r="C17" s="163"/>
      <c r="D17" s="163"/>
      <c r="E17" s="163"/>
      <c r="F17" s="163"/>
      <c r="G17" s="163">
        <v>-1195</v>
      </c>
      <c r="H17" s="163">
        <v>-1153</v>
      </c>
      <c r="I17" s="163">
        <v>-1185</v>
      </c>
      <c r="J17" s="163">
        <v>-1178</v>
      </c>
      <c r="K17" s="163"/>
    </row>
    <row r="18" spans="1:12" ht="15" x14ac:dyDescent="0.25">
      <c r="A18" s="71" t="s">
        <v>194</v>
      </c>
      <c r="B18" s="291" t="s">
        <v>195</v>
      </c>
      <c r="C18" s="161"/>
      <c r="D18" s="161"/>
      <c r="E18" s="161"/>
      <c r="F18" s="161"/>
      <c r="G18" s="161">
        <v>101.93</v>
      </c>
      <c r="H18" s="161">
        <v>162.46</v>
      </c>
      <c r="I18" s="161">
        <v>150</v>
      </c>
      <c r="J18" s="161">
        <v>83.42</v>
      </c>
      <c r="K18" s="161">
        <v>83.42</v>
      </c>
    </row>
    <row r="19" spans="1:12" ht="15" x14ac:dyDescent="0.25">
      <c r="A19" s="71" t="s">
        <v>194</v>
      </c>
      <c r="B19" s="71" t="s">
        <v>196</v>
      </c>
      <c r="C19" s="74"/>
      <c r="D19" s="75"/>
      <c r="E19" s="75"/>
      <c r="F19" s="75"/>
      <c r="G19" s="75">
        <v>6.1899999999999997E-2</v>
      </c>
      <c r="H19" s="75">
        <v>4.53E-2</v>
      </c>
      <c r="I19" s="75">
        <v>5.1799999999999999E-2</v>
      </c>
      <c r="J19" s="75">
        <v>7.1800000000000003E-2</v>
      </c>
      <c r="K19" s="75">
        <v>7.1800000000000003E-2</v>
      </c>
    </row>
    <row r="20" spans="1:12" ht="15" x14ac:dyDescent="0.25">
      <c r="A20" s="71" t="s">
        <v>197</v>
      </c>
      <c r="B20" s="71" t="s">
        <v>110</v>
      </c>
      <c r="C20" s="73"/>
      <c r="D20" s="73"/>
      <c r="E20" s="73"/>
      <c r="F20" s="76"/>
      <c r="G20" s="76">
        <v>2E-3</v>
      </c>
      <c r="H20" s="76">
        <v>2E-3</v>
      </c>
      <c r="I20" s="76">
        <v>1.7000000000000001E-2</v>
      </c>
      <c r="J20" s="238">
        <v>6.9000000000000006E-2</v>
      </c>
      <c r="K20" s="76">
        <v>0</v>
      </c>
    </row>
    <row r="21" spans="1:12" ht="15" x14ac:dyDescent="0.25">
      <c r="A21" s="71" t="s">
        <v>156</v>
      </c>
      <c r="B21" s="71" t="s">
        <v>110</v>
      </c>
      <c r="C21" s="73"/>
      <c r="D21" s="73"/>
      <c r="E21" s="73"/>
      <c r="F21" s="73"/>
      <c r="G21" s="73">
        <v>0.01</v>
      </c>
      <c r="H21" s="73">
        <v>0.08</v>
      </c>
      <c r="I21" s="73">
        <v>0.09</v>
      </c>
      <c r="J21" s="73">
        <v>0.06</v>
      </c>
      <c r="K21" s="73">
        <v>0</v>
      </c>
    </row>
    <row r="22" spans="1:12" ht="15" x14ac:dyDescent="0.25">
      <c r="A22" s="71" t="s">
        <v>158</v>
      </c>
      <c r="B22" s="71" t="s">
        <v>103</v>
      </c>
      <c r="C22" s="73"/>
      <c r="D22" s="73"/>
      <c r="E22" s="73"/>
      <c r="F22" s="73"/>
      <c r="G22" s="73">
        <v>25</v>
      </c>
      <c r="H22" s="73">
        <v>24</v>
      </c>
      <c r="I22" s="73">
        <v>24</v>
      </c>
      <c r="J22" s="73">
        <v>52</v>
      </c>
      <c r="K22" s="73">
        <v>0</v>
      </c>
    </row>
    <row r="23" spans="1:12" ht="15" x14ac:dyDescent="0.25">
      <c r="A23" s="71" t="s">
        <v>158</v>
      </c>
      <c r="B23" t="s">
        <v>198</v>
      </c>
      <c r="C23" s="73"/>
      <c r="D23" s="73"/>
      <c r="E23" s="73"/>
      <c r="F23" s="73"/>
      <c r="G23" s="73">
        <v>0</v>
      </c>
      <c r="H23" s="73">
        <v>0</v>
      </c>
      <c r="I23" s="73">
        <v>0</v>
      </c>
      <c r="J23" s="73">
        <v>0</v>
      </c>
      <c r="K23" s="73">
        <v>0</v>
      </c>
    </row>
    <row r="24" spans="1:12" ht="15" x14ac:dyDescent="0.25">
      <c r="A24" s="71" t="s">
        <v>158</v>
      </c>
      <c r="B24" s="71" t="s">
        <v>199</v>
      </c>
      <c r="C24" s="73"/>
      <c r="D24" s="73"/>
      <c r="E24" s="73"/>
      <c r="F24" s="73"/>
      <c r="G24" s="73">
        <v>400</v>
      </c>
      <c r="H24" s="73">
        <v>400</v>
      </c>
      <c r="I24" s="73">
        <v>400</v>
      </c>
      <c r="J24" s="73">
        <v>400</v>
      </c>
      <c r="K24" s="73">
        <v>0</v>
      </c>
    </row>
    <row r="25" spans="1:12" ht="15.75" thickBot="1" x14ac:dyDescent="0.3">
      <c r="A25" s="71" t="s">
        <v>200</v>
      </c>
      <c r="B25" s="71" t="s">
        <v>200</v>
      </c>
      <c r="C25" s="73"/>
      <c r="D25" s="73"/>
      <c r="E25" s="73"/>
      <c r="F25" s="73"/>
      <c r="G25" s="73">
        <v>2.2999999999999998</v>
      </c>
      <c r="H25" s="73">
        <v>2.2000000000000002</v>
      </c>
      <c r="I25" s="73">
        <v>2.2000000000000002</v>
      </c>
      <c r="J25" s="73">
        <v>1.3</v>
      </c>
      <c r="K25" s="73">
        <v>1.3</v>
      </c>
    </row>
    <row r="26" spans="1:12" ht="15" x14ac:dyDescent="0.25">
      <c r="A26" s="291" t="s">
        <v>201</v>
      </c>
      <c r="B26" s="291" t="s">
        <v>110</v>
      </c>
      <c r="C26" s="73"/>
      <c r="D26" s="73"/>
      <c r="E26" s="73"/>
      <c r="F26" s="73"/>
      <c r="G26" s="73"/>
      <c r="H26" s="73"/>
      <c r="I26" s="73"/>
      <c r="J26" s="73"/>
      <c r="K26" s="168">
        <f>17.36*L26</f>
        <v>3.472</v>
      </c>
      <c r="L26" s="316">
        <v>0.2</v>
      </c>
    </row>
    <row r="27" spans="1:12" ht="15.75" thickBot="1" x14ac:dyDescent="0.3">
      <c r="A27" s="291" t="s">
        <v>202</v>
      </c>
      <c r="B27" s="291" t="s">
        <v>110</v>
      </c>
      <c r="C27" s="73"/>
      <c r="D27" s="73"/>
      <c r="E27" s="73"/>
      <c r="F27" s="73"/>
      <c r="G27" s="73"/>
      <c r="H27" s="73"/>
      <c r="I27" s="73"/>
      <c r="J27" s="73"/>
      <c r="K27" s="169">
        <f>7.91*L26</f>
        <v>1.5820000000000001</v>
      </c>
      <c r="L27" s="317"/>
    </row>
    <row r="28" spans="1:12" ht="15" x14ac:dyDescent="0.25">
      <c r="A28" s="291" t="s">
        <v>203</v>
      </c>
      <c r="K28" s="239">
        <f>SUM(K5,K7,K26,K27)</f>
        <v>7.194</v>
      </c>
    </row>
    <row r="29" spans="1:12" ht="13.5" thickBot="1" x14ac:dyDescent="0.25"/>
    <row r="30" spans="1:12" x14ac:dyDescent="0.2">
      <c r="B30" s="126" t="s">
        <v>204</v>
      </c>
      <c r="C30" s="127" t="s">
        <v>205</v>
      </c>
    </row>
    <row r="31" spans="1:12" x14ac:dyDescent="0.2">
      <c r="B31" s="128">
        <v>2024</v>
      </c>
      <c r="C31" s="129">
        <v>8784</v>
      </c>
    </row>
    <row r="32" spans="1:12" x14ac:dyDescent="0.2">
      <c r="B32" s="128">
        <v>2023</v>
      </c>
      <c r="C32" s="129">
        <v>8760</v>
      </c>
    </row>
    <row r="33" spans="2:3" x14ac:dyDescent="0.2">
      <c r="B33" s="128">
        <v>2022</v>
      </c>
      <c r="C33" s="129">
        <v>8760</v>
      </c>
    </row>
    <row r="34" spans="2:3" x14ac:dyDescent="0.2">
      <c r="B34" s="128">
        <v>2021</v>
      </c>
      <c r="C34" s="129">
        <v>8760</v>
      </c>
    </row>
    <row r="35" spans="2:3" ht="13.5" thickBot="1" x14ac:dyDescent="0.25">
      <c r="B35" s="130">
        <v>2020</v>
      </c>
      <c r="C35" s="131">
        <v>8784</v>
      </c>
    </row>
  </sheetData>
  <mergeCells count="1">
    <mergeCell ref="L26:L27"/>
  </mergeCells>
  <pageMargins left="0.7" right="0.7" top="0.75" bottom="0.75" header="0.3" footer="0.3"/>
  <pageSetup orientation="portrait" r:id="rId1"/>
</worksheet>
</file>

<file path=docMetadata/LabelInfo.xml><?xml version="1.0" encoding="utf-8"?>
<clbl:labelList xmlns:clbl="http://schemas.microsoft.com/office/2020/mipLabelMetadata">
  <clbl:label id="{51a5a3c7-ba38-4976-a2eb-9e02a5c891be}" enabled="1" method="Privileged" siteId="{9869aa0d-ebba-4f8c-9399-7dff7665b1d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Information</vt:lpstr>
      <vt:lpstr>No Rate DTS Reduction</vt:lpstr>
      <vt:lpstr>With Rate DTS Reduction</vt:lpstr>
      <vt:lpstr>No Rate DTS Reduction Calcs</vt:lpstr>
      <vt:lpstr>Rate DTS Reduction Calcs</vt:lpstr>
      <vt:lpstr>Rates Lookup</vt:lpstr>
      <vt:lpstr>AESOTariff</vt:lpstr>
      <vt:lpstr>Year_hours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2024-11-21T00:02:19Z</dcterms:created>
  <dcterms:modified xsi:type="dcterms:W3CDTF">2024-11-21T00:02:30Z</dcterms:modified>
  <cp:category/>
  <cp:contentStatus/>
</cp:coreProperties>
</file>