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58D0DEE5-D82B-4511-9A68-A24958C1F387}" xr6:coauthVersionLast="45" xr6:coauthVersionMax="45" xr10:uidLastSave="{00000000-0000-0000-0000-000000000000}"/>
  <bookViews>
    <workbookView xWindow="-28920" yWindow="-135" windowWidth="29040" windowHeight="15840" tabRatio="867" xr2:uid="{C60ECDB4-B1ED-453A-AFC8-DF105F2482A1}"/>
  </bookViews>
  <sheets>
    <sheet name="Information " sheetId="8" r:id="rId1"/>
    <sheet name="Calculations - 5yr Average 12CP" sheetId="7" r:id="rId2"/>
    <sheet name="Actual Load at time of CP-ACMD" sheetId="1" r:id="rId3"/>
    <sheet name="Rolling 5yr Average-TCMD" sheetId="2" r:id="rId4"/>
    <sheet name="Differences" sheetId="3" r:id="rId5"/>
  </sheets>
  <externalReferences>
    <externalReference r:id="rId6"/>
  </externalReferences>
  <definedNames>
    <definedName name="AccountID">'[1]Site Data Input'!$D$2</definedName>
    <definedName name="ParticipantName">'[1]Site Data Input'!$B$2</definedName>
    <definedName name="_xlnm.Print_Area" localSheetId="0">'Information '!$A$1:$G$56</definedName>
    <definedName name="SiteDescription">'[1]Site Data Input'!$C$2</definedName>
    <definedName name="Year_hours">[1]Lookup!$B$29:$C$34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7" l="1"/>
  <c r="N26" i="7"/>
  <c r="N25" i="7"/>
  <c r="N24" i="7"/>
  <c r="N23" i="7"/>
  <c r="N22" i="7"/>
  <c r="N21" i="7"/>
  <c r="N20" i="7"/>
  <c r="N19" i="7"/>
  <c r="N18" i="7"/>
  <c r="N17" i="7"/>
  <c r="N16" i="7"/>
  <c r="M27" i="7"/>
  <c r="M26" i="7"/>
  <c r="M25" i="7"/>
  <c r="M24" i="7"/>
  <c r="M23" i="7"/>
  <c r="M22" i="7"/>
  <c r="M21" i="7"/>
  <c r="M20" i="7"/>
  <c r="M19" i="7"/>
  <c r="M18" i="7"/>
  <c r="M17" i="7"/>
  <c r="M16" i="7"/>
  <c r="L27" i="7"/>
  <c r="L26" i="7"/>
  <c r="L25" i="7"/>
  <c r="L24" i="7"/>
  <c r="L23" i="7"/>
  <c r="L22" i="7"/>
  <c r="L21" i="7"/>
  <c r="L20" i="7"/>
  <c r="L19" i="7"/>
  <c r="L18" i="7"/>
  <c r="L17" i="7"/>
  <c r="L16" i="7"/>
  <c r="K27" i="7"/>
  <c r="K26" i="7"/>
  <c r="K25" i="7"/>
  <c r="K24" i="7"/>
  <c r="K23" i="7"/>
  <c r="K22" i="7"/>
  <c r="K21" i="7"/>
  <c r="K20" i="7"/>
  <c r="K19" i="7"/>
  <c r="K18" i="7"/>
  <c r="K17" i="7"/>
  <c r="K16" i="7"/>
  <c r="J27" i="7"/>
  <c r="J26" i="7"/>
  <c r="J25" i="7"/>
  <c r="J24" i="7"/>
  <c r="J23" i="7"/>
  <c r="J22" i="7"/>
  <c r="J21" i="7"/>
  <c r="J20" i="7"/>
  <c r="J19" i="7"/>
  <c r="J18" i="7"/>
  <c r="J17" i="7"/>
  <c r="J16" i="7"/>
  <c r="I27" i="7"/>
  <c r="I26" i="7"/>
  <c r="I25" i="7"/>
  <c r="I24" i="7"/>
  <c r="I23" i="7"/>
  <c r="I22" i="7"/>
  <c r="I21" i="7"/>
  <c r="I20" i="7"/>
  <c r="I19" i="7"/>
  <c r="I18" i="7"/>
  <c r="I17" i="7"/>
  <c r="I16" i="7"/>
  <c r="H27" i="7"/>
  <c r="H26" i="7"/>
  <c r="H25" i="7"/>
  <c r="H24" i="7"/>
  <c r="H23" i="7"/>
  <c r="H22" i="7"/>
  <c r="H21" i="7"/>
  <c r="H20" i="7"/>
  <c r="H19" i="7"/>
  <c r="H18" i="7"/>
  <c r="H17" i="7"/>
  <c r="H16" i="7"/>
  <c r="G27" i="7"/>
  <c r="G26" i="7"/>
  <c r="G25" i="7"/>
  <c r="G24" i="7"/>
  <c r="G23" i="7"/>
  <c r="G22" i="7"/>
  <c r="G21" i="7"/>
  <c r="G20" i="7"/>
  <c r="G19" i="7"/>
  <c r="G18" i="7"/>
  <c r="G17" i="7"/>
  <c r="G16" i="7"/>
  <c r="F27" i="7"/>
  <c r="F26" i="7"/>
  <c r="F25" i="7"/>
  <c r="F24" i="7"/>
  <c r="F23" i="7"/>
  <c r="F22" i="7"/>
  <c r="F21" i="7"/>
  <c r="F20" i="7"/>
  <c r="F19" i="7"/>
  <c r="F18" i="7"/>
  <c r="F17" i="7"/>
  <c r="F16" i="7"/>
  <c r="E27" i="7"/>
  <c r="E26" i="7"/>
  <c r="E25" i="7"/>
  <c r="E24" i="7"/>
  <c r="E23" i="7"/>
  <c r="E22" i="7"/>
  <c r="E21" i="7"/>
  <c r="E20" i="7"/>
  <c r="E19" i="7"/>
  <c r="E18" i="7"/>
  <c r="E17" i="7"/>
  <c r="E16" i="7"/>
  <c r="D27" i="7"/>
  <c r="D26" i="7"/>
  <c r="D25" i="7"/>
  <c r="D24" i="7"/>
  <c r="D23" i="7"/>
  <c r="D22" i="7"/>
  <c r="D21" i="7"/>
  <c r="D20" i="7"/>
  <c r="D19" i="7"/>
  <c r="D18" i="7"/>
  <c r="D17" i="7"/>
  <c r="D16" i="7"/>
  <c r="C27" i="7"/>
  <c r="C26" i="7"/>
  <c r="C25" i="7"/>
  <c r="C24" i="7"/>
  <c r="C23" i="7"/>
  <c r="C22" i="7"/>
  <c r="C21" i="7"/>
  <c r="C20" i="7"/>
  <c r="C19" i="7"/>
  <c r="C18" i="7"/>
  <c r="C17" i="7"/>
  <c r="C3" i="2"/>
  <c r="C11" i="2"/>
  <c r="C13" i="2"/>
  <c r="C12" i="2"/>
  <c r="D13" i="2"/>
  <c r="D12" i="2"/>
  <c r="D11" i="2"/>
  <c r="D3" i="2"/>
  <c r="D5" i="2"/>
  <c r="D2" i="2"/>
  <c r="E2" i="2"/>
  <c r="F2" i="2"/>
  <c r="G2" i="2"/>
  <c r="H2" i="2"/>
  <c r="I2" i="2"/>
  <c r="J2" i="2"/>
  <c r="K2" i="2"/>
  <c r="L2" i="2"/>
  <c r="M2" i="2"/>
  <c r="N2" i="2"/>
  <c r="D4" i="2"/>
  <c r="E3" i="2"/>
  <c r="F3" i="2"/>
  <c r="G3" i="2"/>
  <c r="H3" i="2"/>
  <c r="I3" i="2"/>
  <c r="J3" i="2"/>
  <c r="K3" i="2"/>
  <c r="L3" i="2"/>
  <c r="M3" i="2"/>
  <c r="N3" i="2"/>
  <c r="E4" i="2"/>
  <c r="F4" i="2"/>
  <c r="G4" i="2"/>
  <c r="H4" i="2"/>
  <c r="I4" i="2"/>
  <c r="J4" i="2"/>
  <c r="K4" i="2"/>
  <c r="L4" i="2"/>
  <c r="M4" i="2"/>
  <c r="N4" i="2"/>
  <c r="E5" i="2"/>
  <c r="F5" i="2"/>
  <c r="G5" i="2"/>
  <c r="H5" i="2"/>
  <c r="I5" i="2"/>
  <c r="J5" i="2"/>
  <c r="K5" i="2"/>
  <c r="L5" i="2"/>
  <c r="M5" i="2"/>
  <c r="N5" i="2"/>
  <c r="F6" i="2"/>
  <c r="F7" i="2"/>
  <c r="F8" i="2"/>
  <c r="F9" i="2"/>
  <c r="F10" i="2"/>
  <c r="E11" i="2"/>
  <c r="F11" i="2"/>
  <c r="G11" i="2"/>
  <c r="H11" i="2"/>
  <c r="I11" i="2"/>
  <c r="J11" i="2"/>
  <c r="K11" i="2"/>
  <c r="L11" i="2"/>
  <c r="M11" i="2"/>
  <c r="N11" i="2"/>
  <c r="E12" i="2"/>
  <c r="F12" i="2"/>
  <c r="G12" i="2"/>
  <c r="H12" i="2"/>
  <c r="I12" i="2"/>
  <c r="J12" i="2"/>
  <c r="K12" i="2"/>
  <c r="L12" i="2"/>
  <c r="M12" i="2"/>
  <c r="N12" i="2"/>
  <c r="E13" i="2"/>
  <c r="F13" i="2"/>
  <c r="G13" i="2"/>
  <c r="H13" i="2"/>
  <c r="I13" i="2"/>
  <c r="J13" i="2"/>
  <c r="K13" i="2"/>
  <c r="L13" i="2"/>
  <c r="M13" i="2"/>
  <c r="N13" i="2"/>
  <c r="C16" i="7"/>
  <c r="C2" i="2"/>
  <c r="C6" i="1" l="1"/>
  <c r="A3" i="3"/>
  <c r="A4" i="3" s="1"/>
  <c r="A5" i="3" s="1"/>
  <c r="A6" i="3" s="1"/>
  <c r="N13" i="3"/>
  <c r="M13" i="3"/>
  <c r="L13" i="3"/>
  <c r="K13" i="3"/>
  <c r="J13" i="3"/>
  <c r="I13" i="3"/>
  <c r="H13" i="3"/>
  <c r="G13" i="3"/>
  <c r="F13" i="3"/>
  <c r="E13" i="3"/>
  <c r="D13" i="3"/>
  <c r="N12" i="3"/>
  <c r="M12" i="3"/>
  <c r="L12" i="3"/>
  <c r="K12" i="3"/>
  <c r="J12" i="3"/>
  <c r="I12" i="3"/>
  <c r="H12" i="3"/>
  <c r="G12" i="3"/>
  <c r="F12" i="3"/>
  <c r="E12" i="3"/>
  <c r="D12" i="3"/>
  <c r="N11" i="3"/>
  <c r="M11" i="3"/>
  <c r="L11" i="3"/>
  <c r="K11" i="3"/>
  <c r="J11" i="3"/>
  <c r="I11" i="3"/>
  <c r="H11" i="3"/>
  <c r="G11" i="3"/>
  <c r="F11" i="3"/>
  <c r="E11" i="3"/>
  <c r="D11" i="3"/>
  <c r="F10" i="3"/>
  <c r="F9" i="3"/>
  <c r="F8" i="3"/>
  <c r="F7" i="3"/>
  <c r="F6" i="3"/>
  <c r="N5" i="3"/>
  <c r="M5" i="3"/>
  <c r="L5" i="3"/>
  <c r="K5" i="3"/>
  <c r="J5" i="3"/>
  <c r="I5" i="3"/>
  <c r="H5" i="3"/>
  <c r="G5" i="3"/>
  <c r="F5" i="3"/>
  <c r="E5" i="3"/>
  <c r="D5" i="3"/>
  <c r="C5" i="2"/>
  <c r="N4" i="3"/>
  <c r="M4" i="3"/>
  <c r="L4" i="3"/>
  <c r="K4" i="3"/>
  <c r="J4" i="3"/>
  <c r="I4" i="3"/>
  <c r="H4" i="3"/>
  <c r="G4" i="3"/>
  <c r="F4" i="3"/>
  <c r="E4" i="3"/>
  <c r="D4" i="3"/>
  <c r="C4" i="2"/>
  <c r="N3" i="3"/>
  <c r="M3" i="3"/>
  <c r="L3" i="3"/>
  <c r="K3" i="3"/>
  <c r="J3" i="3"/>
  <c r="I3" i="3"/>
  <c r="H3" i="3"/>
  <c r="G3" i="3"/>
  <c r="F3" i="3"/>
  <c r="E3" i="3"/>
  <c r="D3" i="3"/>
  <c r="N2" i="3"/>
  <c r="M2" i="3"/>
  <c r="L2" i="3"/>
  <c r="K2" i="3"/>
  <c r="J2" i="3"/>
  <c r="I2" i="3"/>
  <c r="H2" i="3"/>
  <c r="G2" i="3"/>
  <c r="F2" i="3"/>
  <c r="E2" i="3"/>
  <c r="C2" i="3"/>
  <c r="A3" i="2"/>
  <c r="A4" i="2" s="1"/>
  <c r="A5" i="2" s="1"/>
  <c r="A6" i="2" s="1"/>
  <c r="N6" i="1"/>
  <c r="M6" i="1"/>
  <c r="L6" i="1"/>
  <c r="K6" i="1"/>
  <c r="J6" i="1"/>
  <c r="I6" i="1"/>
  <c r="H6" i="1"/>
  <c r="G6" i="1"/>
  <c r="E6" i="1"/>
  <c r="D6" i="1"/>
  <c r="A3" i="1"/>
  <c r="A4" i="1" s="1"/>
  <c r="A5" i="1" s="1"/>
  <c r="A6" i="1" s="1"/>
  <c r="I6" i="2" l="1"/>
  <c r="I6" i="3" s="1"/>
  <c r="I9" i="2"/>
  <c r="I9" i="3" s="1"/>
  <c r="I10" i="2"/>
  <c r="I10" i="3" s="1"/>
  <c r="I7" i="2"/>
  <c r="I7" i="3" s="1"/>
  <c r="I8" i="2"/>
  <c r="I8" i="3" s="1"/>
  <c r="J8" i="2"/>
  <c r="J8" i="3" s="1"/>
  <c r="J6" i="2"/>
  <c r="J6" i="3" s="1"/>
  <c r="J9" i="2"/>
  <c r="J9" i="3" s="1"/>
  <c r="J10" i="2"/>
  <c r="J10" i="3" s="1"/>
  <c r="J7" i="2"/>
  <c r="J7" i="3" s="1"/>
  <c r="K8" i="2"/>
  <c r="K8" i="3" s="1"/>
  <c r="K9" i="2"/>
  <c r="K9" i="3" s="1"/>
  <c r="K6" i="2"/>
  <c r="K6" i="3" s="1"/>
  <c r="K10" i="2"/>
  <c r="K10" i="3" s="1"/>
  <c r="K7" i="2"/>
  <c r="K7" i="3" s="1"/>
  <c r="L10" i="2"/>
  <c r="L10" i="3" s="1"/>
  <c r="L8" i="2"/>
  <c r="L8" i="3" s="1"/>
  <c r="L6" i="2"/>
  <c r="L6" i="3" s="1"/>
  <c r="L9" i="2"/>
  <c r="L9" i="3" s="1"/>
  <c r="L7" i="2"/>
  <c r="L7" i="3" s="1"/>
  <c r="M7" i="2"/>
  <c r="M7" i="3" s="1"/>
  <c r="M8" i="2"/>
  <c r="M8" i="3" s="1"/>
  <c r="M6" i="2"/>
  <c r="M6" i="3" s="1"/>
  <c r="M9" i="2"/>
  <c r="M9" i="3" s="1"/>
  <c r="M10" i="2"/>
  <c r="M10" i="3" s="1"/>
  <c r="H6" i="2"/>
  <c r="H6" i="3" s="1"/>
  <c r="H8" i="2"/>
  <c r="H8" i="3" s="1"/>
  <c r="H10" i="2"/>
  <c r="H10" i="3" s="1"/>
  <c r="H7" i="2"/>
  <c r="H7" i="3" s="1"/>
  <c r="H9" i="2"/>
  <c r="H9" i="3" s="1"/>
  <c r="E7" i="2"/>
  <c r="E7" i="3" s="1"/>
  <c r="E8" i="2"/>
  <c r="E8" i="3" s="1"/>
  <c r="E6" i="2"/>
  <c r="E6" i="3" s="1"/>
  <c r="E9" i="2"/>
  <c r="E9" i="3" s="1"/>
  <c r="E10" i="2"/>
  <c r="E10" i="3" s="1"/>
  <c r="D7" i="2"/>
  <c r="D7" i="3" s="1"/>
  <c r="D10" i="2"/>
  <c r="D10" i="3" s="1"/>
  <c r="D8" i="2"/>
  <c r="D8" i="3" s="1"/>
  <c r="D6" i="2"/>
  <c r="D6" i="3" s="1"/>
  <c r="D9" i="2"/>
  <c r="D9" i="3" s="1"/>
  <c r="N10" i="2"/>
  <c r="N10" i="3" s="1"/>
  <c r="N7" i="2"/>
  <c r="N7" i="3" s="1"/>
  <c r="N9" i="2"/>
  <c r="N9" i="3" s="1"/>
  <c r="N8" i="2"/>
  <c r="N8" i="3" s="1"/>
  <c r="N6" i="2"/>
  <c r="N6" i="3" s="1"/>
  <c r="G10" i="2"/>
  <c r="G10" i="3" s="1"/>
  <c r="G7" i="2"/>
  <c r="G7" i="3" s="1"/>
  <c r="G8" i="2"/>
  <c r="G8" i="3" s="1"/>
  <c r="G6" i="2"/>
  <c r="G6" i="3" s="1"/>
  <c r="G9" i="2"/>
  <c r="G9" i="3" s="1"/>
  <c r="C5" i="3"/>
  <c r="C11" i="3"/>
  <c r="O11" i="2"/>
  <c r="C13" i="3"/>
  <c r="O13" i="2"/>
  <c r="C4" i="3"/>
  <c r="D2" i="3"/>
  <c r="O2" i="2"/>
  <c r="C12" i="3"/>
  <c r="O12" i="2"/>
  <c r="C3" i="3"/>
  <c r="O3" i="2"/>
  <c r="C6" i="2"/>
  <c r="C6" i="3" s="1"/>
  <c r="C10" i="2"/>
  <c r="C7" i="2"/>
  <c r="C8" i="2"/>
  <c r="C9" i="2"/>
  <c r="O4" i="2" l="1"/>
  <c r="O5" i="2"/>
  <c r="C8" i="3"/>
  <c r="O8" i="2"/>
  <c r="C9" i="3"/>
  <c r="O9" i="2"/>
  <c r="C7" i="3"/>
  <c r="O7" i="2"/>
  <c r="C10" i="3"/>
  <c r="O10" i="2"/>
  <c r="O6" i="2"/>
</calcChain>
</file>

<file path=xl/sharedStrings.xml><?xml version="1.0" encoding="utf-8"?>
<sst xmlns="http://schemas.openxmlformats.org/spreadsheetml/2006/main" count="143" uniqueCount="69">
  <si>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</si>
  <si>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</si>
  <si>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</si>
  <si>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</si>
  <si>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</si>
  <si>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</si>
  <si>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</si>
  <si>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</si>
  <si>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</si>
  <si>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</si>
  <si>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</si>
  <si>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</si>
  <si>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</si>
  <si>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</si>
  <si>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</si>
  <si>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</si>
  <si>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</si>
  <si>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</si>
  <si>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</si>
  <si>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</si>
  <si>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</si>
  <si>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</si>
  <si>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</si>
  <si>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</si>
  <si>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</t>
  </si>
  <si>
    <t>ACMD</t>
  </si>
  <si>
    <t>TCMD</t>
  </si>
  <si>
    <t>Total TCMD (with 5-yr Ratchet)</t>
  </si>
  <si>
    <t>1         Purpose</t>
  </si>
  <si>
    <t>For assistance with this tool and Site Data Input data, please contact the AESO at:</t>
  </si>
  <si>
    <t>tariffdesign@aeso.ca</t>
  </si>
  <si>
    <t>Attachments</t>
  </si>
  <si>
    <t>Revision History</t>
  </si>
  <si>
    <t>Date</t>
  </si>
  <si>
    <t>Description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</si>
  <si>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“Authoritative document” is the general name given by the AESO to categories of documents made by the AESO </t>
    </r>
  </si>
  <si>
    <r>
      <t xml:space="preserve">under the authority of the </t>
    </r>
    <r>
      <rPr>
        <i/>
        <sz val="9"/>
        <rFont val="Arial"/>
        <family val="2"/>
      </rPr>
      <t>Electric Utilities Act</t>
    </r>
    <r>
      <rPr>
        <sz val="9"/>
        <rFont val="Arial"/>
        <family val="2"/>
      </rPr>
      <t xml:space="preserve"> and associated regulations, and that contain binding legal requirements for </t>
    </r>
  </si>
  <si>
    <t>either market participants or the AESO, or both. Authoritative documents include: the ISO rules, the reliability standards</t>
  </si>
  <si>
    <t>and the ISO tariff.</t>
  </si>
  <si>
    <t xml:space="preserve"> </t>
  </si>
  <si>
    <t>2021-04-13</t>
  </si>
  <si>
    <t>v 0.1 - Initial release</t>
  </si>
  <si>
    <r>
      <t>This illustrative tool is not authoritative and is for information purposes only and intended to provide guidance. In the event of any discrepancy between this tool and any authoritative document</t>
    </r>
    <r>
      <rPr>
        <b/>
        <i/>
        <vertAlign val="super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 in effect, the authoritative document governs.</t>
    </r>
  </si>
  <si>
    <t>Actual Load at Time of CP (Actual Coincident Metered Demand) and Rolling 5yr Average (Tariff Coincident Metered Demand)</t>
  </si>
  <si>
    <t>Differences</t>
  </si>
  <si>
    <t>Rolling 5yr Average-TCMD - Actual calculations using previous tab as inputs</t>
  </si>
  <si>
    <t>2         Use of 5-Year Average 12CP Illustrative Tool</t>
  </si>
  <si>
    <t>Rolling Out Period (Years 1 - 4):</t>
  </si>
  <si>
    <t>Definitions:</t>
  </si>
  <si>
    <t>Actual MWs at time of system demand (Rate DTS and Rate FTS) is greatest (at time of (a) 15-interval or (b) 1-hour interval)</t>
  </si>
  <si>
    <t>DETAILED</t>
  </si>
  <si>
    <t>Year 1 TCMD</t>
  </si>
  <si>
    <t>Year 2 TCMD</t>
  </si>
  <si>
    <t>Year 3 TCMD</t>
  </si>
  <si>
    <t>Year 4 TCMD</t>
  </si>
  <si>
    <t xml:space="preserve">Year 5 TCMD . . . </t>
  </si>
  <si>
    <t>Calculated value resulting from calculations proposed as AESO Preferred Rate Design</t>
  </si>
  <si>
    <t>*Sample data included to illustrate actual calculations</t>
  </si>
  <si>
    <t>This illustrative tool is intended to allow stakeholders to understand and assess the concept of the 5-Year Average 12-Coincident Peak ("CP") ("5-Year 12CP Average") ( described in the AESO's Bulk and Regional Tariff Design Stakeholder Engagement Session 5 published on March 18, 2021 and presented in the corresponding AESO's Stakeholder Session 5 on March 25, 2021, and Technical Session II on March 31, 2021.)</t>
  </si>
  <si>
    <t>This section describes how stakeholders may use this illustrative tool to understand the 5-Year 12CP Average included in the AESO's Preferred Rate Design.</t>
  </si>
  <si>
    <t>This tab describes the calculations for the 5-Year 12CP Average proposal and how it could be rolled out in a future tariff design.</t>
  </si>
  <si>
    <t>Use the 'Actual Load at time of CP-ACMD' tab to enter values and calculations for the 5-Year 12CP Average is calculated in the 'Rolling 5yr Average-TCMD' tab</t>
  </si>
  <si>
    <t>The 'Differences' tab calculates difference between ACMD and 5-Year 12CP Average (TCMD)</t>
  </si>
  <si>
    <t>Calculations - 5-Year 12CP Average - Provide full calculation descriptions</t>
  </si>
  <si>
    <t xml:space="preserve">Actual Load at time of CP-ACMD - Tab to allow data entry and following tab to calculate 5-Year 12CP Average </t>
  </si>
  <si>
    <t>Differences - Calculates differences between ACMD and 5-Year 12CP Average (TCMD)</t>
  </si>
  <si>
    <t>5-Year 12CP Average Calculations</t>
  </si>
  <si>
    <r>
      <t xml:space="preserve">The description and explanations in this illustrative tool provide estimate calculations under the Preferred Rate Design only (as described in the AESO's Bulk and Regional Tariff Design Stakeholder Engagement Session 5 ("Preferred Rate Design"). The AESO calculates certain actual charges on an hourly basis rather than on average annual amounts, and </t>
    </r>
    <r>
      <rPr>
        <b/>
        <i/>
        <sz val="10"/>
        <rFont val="Arial"/>
        <family val="2"/>
      </rPr>
      <t>actual charges under any future tariff design will differ from the estimated amounts presented in this illustrative tool</t>
    </r>
    <r>
      <rPr>
        <i/>
        <sz val="10"/>
        <rFont val="Arial"/>
        <family val="2"/>
      </rPr>
      <t>.</t>
    </r>
  </si>
  <si>
    <t>Calculations - 5yr Average-Tariff Coincident Metered Demand (TCMD)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</si>
</sst>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"/>
    </font>
    <font>
      <sz val="8"/>
      <name val="Calibri"/>
      <family val="2"/>
      <scheme val="minor"/>
    </font>
    <font>
      <b/>
      <i/>
      <sz val="11"/>
      <color theme="1"/>
      <name val="Arial"/>
      <family val="2"/>
    </font>
    <font>
      <b/>
      <i/>
      <vertAlign val="superscript"/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sz val="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b/>
      <i/>
      <sz val="10"/>
      <color indexed="18"/>
      <name val="Arial"/>
      <family val="2"/>
    </font>
    <font>
      <b/>
      <i/>
      <sz val="13"/>
      <color indexed="1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14" fillId="0" borderId="0">
      <alignment vertical="top"/>
    </xf>
    <xf numFmtId="0" fontId="17" fillId="0" borderId="0" applyNumberFormat="0" applyFill="0" applyBorder="0" applyAlignment="0" applyProtection="0"/>
    <xf numFmtId="0" fontId="6" fillId="0" borderId="0"/>
    <xf numFmtId="0" fontId="6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Alignment="1">
      <alignment horizontal="right"/>
    </xf>
    <xf numFmtId="0" fontId="2" fillId="3" borderId="0" xfId="0" applyFont="1" applyFill="1" applyAlignment="1">
      <alignment horizontal="center" wrapText="1"/>
    </xf>
    <xf numFmtId="164" fontId="0" fillId="3" borderId="0" xfId="0" applyNumberFormat="1" applyFill="1"/>
    <xf numFmtId="0" fontId="0" fillId="0" borderId="0" xfId="0" applyAlignment="1">
      <alignment wrapText="1"/>
    </xf>
    <xf numFmtId="0" fontId="6" fillId="0" borderId="0" xfId="2"/>
    <xf numFmtId="0" fontId="7" fillId="0" borderId="0" xfId="3"/>
    <xf numFmtId="0" fontId="9" fillId="0" borderId="0" xfId="4" applyFont="1"/>
    <xf numFmtId="0" fontId="8" fillId="0" borderId="0" xfId="4"/>
    <xf numFmtId="0" fontId="10" fillId="0" borderId="0" xfId="3" applyFont="1"/>
    <xf numFmtId="0" fontId="6" fillId="0" borderId="0" xfId="2" applyAlignment="1">
      <alignment horizontal="left"/>
    </xf>
    <xf numFmtId="0" fontId="13" fillId="0" borderId="0" xfId="3" applyFont="1"/>
    <xf numFmtId="0" fontId="15" fillId="0" borderId="0" xfId="5" applyFont="1">
      <alignment vertical="top"/>
    </xf>
    <xf numFmtId="0" fontId="14" fillId="0" borderId="0" xfId="5">
      <alignment vertical="top"/>
    </xf>
    <xf numFmtId="0" fontId="16" fillId="0" borderId="0" xfId="2" applyFont="1"/>
    <xf numFmtId="0" fontId="17" fillId="0" borderId="0" xfId="6"/>
    <xf numFmtId="0" fontId="6" fillId="0" borderId="0" xfId="7"/>
    <xf numFmtId="0" fontId="11" fillId="0" borderId="0" xfId="7" applyFont="1"/>
    <xf numFmtId="0" fontId="11" fillId="0" borderId="0" xfId="2" applyFont="1"/>
    <xf numFmtId="0" fontId="6" fillId="0" borderId="0" xfId="8"/>
    <xf numFmtId="0" fontId="10" fillId="0" borderId="0" xfId="8" applyFont="1"/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left" vertical="center"/>
    </xf>
    <xf numFmtId="0" fontId="16" fillId="0" borderId="3" xfId="2" applyFont="1" applyBorder="1" applyAlignment="1">
      <alignment horizontal="centerContinuous" vertical="center"/>
    </xf>
    <xf numFmtId="0" fontId="16" fillId="0" borderId="4" xfId="2" applyFont="1" applyBorder="1" applyAlignment="1">
      <alignment horizontal="centerContinuous" vertical="center"/>
    </xf>
    <xf numFmtId="0" fontId="6" fillId="0" borderId="0" xfId="2" applyAlignment="1">
      <alignment vertical="center"/>
    </xf>
    <xf numFmtId="14" fontId="6" fillId="0" borderId="1" xfId="2" quotePrefix="1" applyNumberFormat="1" applyBorder="1" applyAlignment="1">
      <alignment vertical="center"/>
    </xf>
    <xf numFmtId="0" fontId="6" fillId="0" borderId="2" xfId="2" applyBorder="1" applyAlignment="1">
      <alignment horizontal="left" vertical="center"/>
    </xf>
    <xf numFmtId="0" fontId="6" fillId="0" borderId="3" xfId="2" applyBorder="1" applyAlignment="1">
      <alignment horizontal="left" vertical="center"/>
    </xf>
    <xf numFmtId="0" fontId="6" fillId="0" borderId="4" xfId="2" applyBorder="1" applyAlignment="1">
      <alignment horizontal="left" vertical="center"/>
    </xf>
    <xf numFmtId="0" fontId="18" fillId="0" borderId="0" xfId="1" applyFont="1"/>
    <xf numFmtId="0" fontId="18" fillId="0" borderId="0" xfId="8" applyFont="1"/>
    <xf numFmtId="0" fontId="18" fillId="0" borderId="0" xfId="7" applyFont="1"/>
    <xf numFmtId="0" fontId="18" fillId="0" borderId="0" xfId="2" applyFont="1"/>
    <xf numFmtId="0" fontId="6" fillId="0" borderId="0" xfId="3" applyFont="1"/>
    <xf numFmtId="0" fontId="0" fillId="0" borderId="0" xfId="0" applyAlignment="1">
      <alignment horizontal="left"/>
    </xf>
    <xf numFmtId="0" fontId="2" fillId="6" borderId="0" xfId="0" applyFon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 wrapText="1"/>
    </xf>
    <xf numFmtId="0" fontId="0" fillId="6" borderId="0" xfId="0" applyFill="1" applyAlignment="1">
      <alignment wrapText="1"/>
    </xf>
    <xf numFmtId="0" fontId="0" fillId="6" borderId="0" xfId="0" applyFill="1" applyAlignment="1">
      <alignment horizontal="center" wrapText="1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4" fillId="0" borderId="0" xfId="1" applyFont="1" applyAlignment="1">
      <alignment horizontal="left" vertical="top" wrapText="1"/>
    </xf>
    <xf numFmtId="0" fontId="6" fillId="0" borderId="0" xfId="2" applyFont="1" applyAlignment="1">
      <alignment horizontal="left" wrapText="1"/>
    </xf>
    <xf numFmtId="0" fontId="6" fillId="0" borderId="0" xfId="2" applyAlignment="1">
      <alignment horizontal="left" wrapText="1"/>
    </xf>
    <xf numFmtId="0" fontId="14" fillId="5" borderId="0" xfId="5" applyFill="1" applyAlignment="1">
      <alignment horizontal="left" vertical="top"/>
    </xf>
    <xf numFmtId="0" fontId="14" fillId="2" borderId="0" xfId="5" applyFill="1" applyAlignment="1">
      <alignment horizontal="left" vertical="top" wrapText="1"/>
    </xf>
    <xf numFmtId="0" fontId="11" fillId="5" borderId="0" xfId="2" applyFont="1" applyFill="1" applyAlignment="1">
      <alignment horizontal="left" wrapText="1"/>
    </xf>
    <xf numFmtId="0" fontId="14" fillId="4" borderId="0" xfId="5" applyFill="1" applyAlignment="1">
      <alignment horizontal="left" vertical="top" wrapText="1"/>
    </xf>
    <xf numFmtId="0" fontId="11" fillId="4" borderId="0" xfId="2" applyFont="1" applyFill="1" applyAlignment="1">
      <alignment horizontal="left" wrapText="1"/>
    </xf>
    <xf numFmtId="0" fontId="11" fillId="2" borderId="0" xfId="2" applyFont="1" applyFill="1" applyAlignment="1">
      <alignment horizontal="left" wrapText="1"/>
    </xf>
  </cellXfs>
  <cellStyles count="9">
    <cellStyle name="Between Paragraphs" xfId="3" xr:uid="{FFAAA2A9-60A0-4117-ADC1-DA6CD3D78A69}"/>
    <cellStyle name="Fact Sheet Body Text" xfId="2" xr:uid="{4E192118-4470-43F0-8A83-E5B91D3F9219}"/>
    <cellStyle name="Fact Sheet Body Text 2" xfId="7" xr:uid="{C8760CDC-EB00-409E-B976-952FA528BF9D}"/>
    <cellStyle name="Fact Sheet Heading 2" xfId="4" xr:uid="{618D8B4B-FDCE-4864-99FD-0B7108520966}"/>
    <cellStyle name="Fact Sheet Heading 3" xfId="5" xr:uid="{573E326E-D361-499B-9A60-98A2C80B3906}"/>
    <cellStyle name="Hyperlink 2" xfId="6" xr:uid="{CB6354F4-D5BF-406A-9A9D-7D15E6BAF804}"/>
    <cellStyle name="Normal" xfId="0" builtinId="0"/>
    <cellStyle name="Normal 2" xfId="8" xr:uid="{4E78F95A-70A5-4875-9AA3-503ED6CC2536}"/>
    <cellStyle name="Normal 3" xfId="1" xr:uid="{09B828F0-6D3C-42F8-8EFC-ED71D90107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533067</xdr:colOff>
      <xdr:row>1</xdr:row>
      <xdr:rowOff>24848</xdr:rowOff>
    </xdr:from>
    <xdr:to>
      <xdr:col>6</xdr:col>
      <xdr:colOff>445512</xdr:colOff>
      <xdr:row>8</xdr:row>
      <xdr:rowOff>9169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18B38-38B0-4AEE-8DE2-119DA289BF5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80"/>
        <a:stretch/>
      </xdr:blipFill>
      <xdr:spPr bwMode="auto">
        <a:xfrm>
          <a:off x="504492" y="186773"/>
          <a:ext cx="6243847" cy="1121880"/>
        </a:xfrm>
        <a:prstGeom prst="rect">
          <a:avLst/>
        </a:prstGeom>
        <a:noFill/>
      </xdr:spPr>
    </xdr:pic>
    <xdr:clientData/>
  </xdr:twoCellAnchor>
  <xdr:twoCellAnchor editAs="absolute">
    <xdr:from>
      <xdr:col>1</xdr:col>
      <xdr:colOff>8979</xdr:colOff>
      <xdr:row>1</xdr:row>
      <xdr:rowOff>28486</xdr:rowOff>
    </xdr:from>
    <xdr:to>
      <xdr:col>6</xdr:col>
      <xdr:colOff>236934</xdr:colOff>
      <xdr:row>6</xdr:row>
      <xdr:rowOff>130677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7D3BC7D-3AAB-4193-9365-64AF7F717CB0}"/>
            </a:ext>
          </a:extLst>
        </xdr:cNvPr>
        <xdr:cNvSpPr txBox="1">
          <a:spLocks noChangeArrowheads="1"/>
        </xdr:cNvSpPr>
      </xdr:nvSpPr>
      <xdr:spPr bwMode="auto">
        <a:xfrm>
          <a:off x="512445" y="191770"/>
          <a:ext cx="6019155" cy="913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0" rIns="0" bIns="36576" anchor="b" upright="1"/>
        <a:lstStyle/>
        <a:p>
          <a:pPr algn="l" rtl="0">
            <a:defRPr sz="1000"/>
          </a:pPr>
          <a:r>
            <a:rPr lang="en-CA" sz="1800" b="0" i="0" u="none" strike="noStrike" baseline="0">
              <a:solidFill>
                <a:schemeClr val="tx2"/>
              </a:solidFill>
              <a:latin typeface="Arial"/>
              <a:cs typeface="Arial"/>
            </a:rPr>
            <a:t>5-Year Average 12-Coincident Peak</a:t>
          </a: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2</xdr:col>
      <xdr:colOff>994875</xdr:colOff>
      <xdr:row>48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2A97DC8-C452-488E-9F2A-C051F4F92EFC}"/>
            </a:ext>
          </a:extLst>
        </xdr:cNvPr>
        <xdr:cNvCxnSpPr/>
      </xdr:nvCxnSpPr>
      <xdr:spPr>
        <a:xfrm>
          <a:off x="504825" y="11315700"/>
          <a:ext cx="18330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59621</xdr:colOff>
      <xdr:row>10</xdr:row>
      <xdr:rowOff>34452</xdr:rowOff>
    </xdr:from>
    <xdr:ext cx="9398143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AE448E8-015A-42C9-9D23-E4E027E72D21}"/>
                </a:ext>
              </a:extLst>
            </xdr:cNvPr>
            <xdr:cNvSpPr txBox="1"/>
          </xdr:nvSpPr>
          <xdr:spPr>
            <a:xfrm>
              <a:off x="1617239" y="2029099"/>
              <a:ext cx="9398143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𝑇𝐶𝑀𝐷</m:t>
                      </m:r>
                    </m:e>
                    <m: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𝑀𝑜𝑛𝑡h</m:t>
                      </m:r>
                    </m:sub>
                  </m:sSub>
                  <m:r>
                    <a:rPr lang="en-US" sz="120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1200" b="0" i="1">
                      <a:latin typeface="Cambria Math" panose="02040503050406030204" pitchFamily="18" charset="0"/>
                    </a:rPr>
                    <m:t>𝐴𝑣𝑒𝑟𝑎𝑔𝑒</m:t>
                  </m:r>
                  <m:r>
                    <a:rPr lang="en-US" sz="1200" b="0" i="1">
                      <a:latin typeface="Cambria Math" panose="02040503050406030204" pitchFamily="18" charset="0"/>
                    </a:rPr>
                    <m:t>(</m:t>
                  </m:r>
                  <m:sSub>
                    <m:sSubPr>
                      <m:ctrlPr>
                        <a:rPr lang="en-US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d>
                        <m:dPr>
                          <m:begChr m:val="["/>
                          <m:endChr m:val="]"/>
                          <m:ctrlPr>
                            <a:rPr lang="en-US" sz="12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𝑌𝑒𝑎𝑟</m:t>
                          </m:r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 5</m:t>
                          </m:r>
                        </m:e>
                      </m:d>
                      <m:r>
                        <a:rPr lang="en-US" sz="1200" b="0" i="1">
                          <a:latin typeface="Cambria Math" panose="02040503050406030204" pitchFamily="18" charset="0"/>
                        </a:rPr>
                        <m:t>, </m:t>
                      </m:r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𝑀𝑜𝑛𝑡h</m:t>
                      </m:r>
                    </m:sub>
                  </m:sSub>
                  <m:r>
                    <a:rPr lang="en-US" sz="1200" b="0" i="1">
                      <a:latin typeface="Cambria Math" panose="02040503050406030204" pitchFamily="18" charset="0"/>
                    </a:rPr>
                    <m:t>,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d>
                        <m:dPr>
                          <m:begChr m:val="["/>
                          <m:endChr m:val="]"/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𝑌𝑒𝑎𝑟</m:t>
                          </m:r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4</m:t>
                          </m:r>
                        </m:e>
                      </m:d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d>
                        <m:dPr>
                          <m:begChr m:val="["/>
                          <m:endChr m:val="]"/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𝑌𝑒𝑎𝑟</m:t>
                          </m:r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3</m:t>
                          </m:r>
                        </m:e>
                      </m:d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d>
                        <m:dPr>
                          <m:begChr m:val="["/>
                          <m:endChr m:val="]"/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𝑌𝑒𝑎𝑟</m:t>
                          </m:r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2</m:t>
                          </m:r>
                        </m:e>
                      </m:d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[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𝑌𝑒𝑎𝑟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1]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</m:oMath>
              </a14:m>
              <a:r>
                <a:rPr lang="en-US" sz="1200"/>
                <a:t>)</a:t>
              </a: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AE448E8-015A-42C9-9D23-E4E027E72D21}"/>
                </a:ext>
              </a:extLst>
            </xdr:cNvPr>
            <xdr:cNvSpPr txBox="1"/>
          </xdr:nvSpPr>
          <xdr:spPr>
            <a:xfrm>
              <a:off x="1617239" y="2029099"/>
              <a:ext cx="9398143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200" i="0">
                  <a:latin typeface="Cambria Math" panose="02040503050406030204" pitchFamily="18" charset="0"/>
                </a:rPr>
                <a:t>〖</a:t>
              </a:r>
              <a:r>
                <a:rPr lang="en-US" sz="1200" b="0" i="0">
                  <a:latin typeface="Cambria Math" panose="02040503050406030204" pitchFamily="18" charset="0"/>
                </a:rPr>
                <a:t>𝑇𝐶𝑀𝐷〗_𝑀𝑜𝑛𝑡ℎ</a:t>
              </a:r>
              <a:r>
                <a:rPr lang="en-US" sz="1200" i="0">
                  <a:latin typeface="Cambria Math" panose="02040503050406030204" pitchFamily="18" charset="0"/>
                </a:rPr>
                <a:t>=</a:t>
              </a:r>
              <a:r>
                <a:rPr lang="en-US" sz="1200" b="0" i="0">
                  <a:latin typeface="Cambria Math" panose="02040503050406030204" pitchFamily="18" charset="0"/>
                </a:rPr>
                <a:t>𝐴𝑣𝑒𝑟𝑎𝑔𝑒(〖[𝑌𝑒𝑎𝑟 5], 𝐴𝐶𝑀𝐷〗_𝑀𝑜𝑛𝑡ℎ,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𝑌𝑒𝑎𝑟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4]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𝐴𝐶𝑀𝐷_𝑀𝑜𝑛𝑡ℎ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[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𝑌𝑒𝑎𝑟 3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𝐴𝐶𝑀𝐷_𝑀𝑜𝑛𝑡ℎ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[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𝑌𝑒𝑎𝑟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2]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𝐴𝐶𝑀𝐷_𝑀𝑜𝑛𝑡ℎ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〖[𝑌𝑒𝑎𝑟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]𝐴𝐶𝑀𝐷〗_(𝑀𝑜𝑛𝑡ℎ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1200"/>
                <a:t>)</a:t>
              </a:r>
            </a:p>
          </xdr:txBody>
        </xdr:sp>
      </mc:Fallback>
    </mc:AlternateContent>
    <xdr:clientData/>
  </xdr:oneCellAnchor>
  <xdr:oneCellAnchor>
    <xdr:from>
      <xdr:col>2</xdr:col>
      <xdr:colOff>66345</xdr:colOff>
      <xdr:row>9</xdr:row>
      <xdr:rowOff>7558</xdr:rowOff>
    </xdr:from>
    <xdr:ext cx="9398143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7B55F75-FCC5-44AB-ABFF-5C5198D6060C}"/>
                </a:ext>
              </a:extLst>
            </xdr:cNvPr>
            <xdr:cNvSpPr txBox="1"/>
          </xdr:nvSpPr>
          <xdr:spPr>
            <a:xfrm>
              <a:off x="1623963" y="1811705"/>
              <a:ext cx="9398143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𝑇𝐶𝑀𝐷</m:t>
                      </m:r>
                    </m:e>
                    <m: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𝑀𝑜𝑛𝑡h</m:t>
                      </m:r>
                    </m:sub>
                  </m:sSub>
                  <m:r>
                    <a:rPr lang="en-US" sz="120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1200" b="0" i="1">
                      <a:latin typeface="Cambria Math" panose="02040503050406030204" pitchFamily="18" charset="0"/>
                    </a:rPr>
                    <m:t>𝐴𝑣𝑒𝑟𝑎𝑔𝑒</m:t>
                  </m:r>
                  <m:r>
                    <a:rPr lang="en-US" sz="1200" b="0" i="1">
                      <a:latin typeface="Cambria Math" panose="02040503050406030204" pitchFamily="18" charset="0"/>
                    </a:rPr>
                    <m:t>(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d>
                        <m:dPr>
                          <m:begChr m:val="["/>
                          <m:endChr m:val="]"/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𝑌𝑒𝑎𝑟</m:t>
                          </m:r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4</m:t>
                          </m:r>
                        </m:e>
                      </m:d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d>
                        <m:dPr>
                          <m:begChr m:val="["/>
                          <m:endChr m:val="]"/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𝑌𝑒𝑎𝑟</m:t>
                          </m:r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3</m:t>
                          </m:r>
                        </m:e>
                      </m:d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d>
                        <m:dPr>
                          <m:begChr m:val="["/>
                          <m:endChr m:val="]"/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𝑌𝑒𝑎𝑟</m:t>
                          </m:r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2</m:t>
                          </m:r>
                        </m:e>
                      </m:d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[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𝑌𝑒𝑎𝑟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1]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</m:oMath>
              </a14:m>
              <a:r>
                <a:rPr lang="en-US" sz="1200"/>
                <a:t>)</a:t>
              </a: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7B55F75-FCC5-44AB-ABFF-5C5198D6060C}"/>
                </a:ext>
              </a:extLst>
            </xdr:cNvPr>
            <xdr:cNvSpPr txBox="1"/>
          </xdr:nvSpPr>
          <xdr:spPr>
            <a:xfrm>
              <a:off x="1623963" y="1811705"/>
              <a:ext cx="9398143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200" i="0">
                  <a:latin typeface="Cambria Math" panose="02040503050406030204" pitchFamily="18" charset="0"/>
                </a:rPr>
                <a:t>〖</a:t>
              </a:r>
              <a:r>
                <a:rPr lang="en-US" sz="1200" b="0" i="0">
                  <a:latin typeface="Cambria Math" panose="02040503050406030204" pitchFamily="18" charset="0"/>
                </a:rPr>
                <a:t>𝑇𝐶𝑀𝐷〗_𝑀𝑜𝑛𝑡ℎ</a:t>
              </a:r>
              <a:r>
                <a:rPr lang="en-US" sz="1200" i="0">
                  <a:latin typeface="Cambria Math" panose="02040503050406030204" pitchFamily="18" charset="0"/>
                </a:rPr>
                <a:t>=</a:t>
              </a:r>
              <a:r>
                <a:rPr lang="en-US" sz="1200" b="0" i="0">
                  <a:latin typeface="Cambria Math" panose="02040503050406030204" pitchFamily="18" charset="0"/>
                </a:rPr>
                <a:t>𝐴𝑣𝑒𝑟𝑎𝑔𝑒(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𝑌𝑒𝑎𝑟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4]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𝐴𝐶𝑀𝐷_𝑀𝑜𝑛𝑡ℎ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[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𝑌𝑒𝑎𝑟 3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𝐴𝐶𝑀𝐷_𝑀𝑜𝑛𝑡ℎ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[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𝑌𝑒𝑎𝑟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2]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𝐴𝐶𝑀𝐷_𝑀𝑜𝑛𝑡ℎ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〖[𝑌𝑒𝑎𝑟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]𝐴𝐶𝑀𝐷〗_(𝑀𝑜𝑛𝑡ℎ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1200"/>
                <a:t>)</a:t>
              </a:r>
            </a:p>
          </xdr:txBody>
        </xdr:sp>
      </mc:Fallback>
    </mc:AlternateContent>
    <xdr:clientData/>
  </xdr:oneCellAnchor>
  <xdr:oneCellAnchor>
    <xdr:from>
      <xdr:col>2</xdr:col>
      <xdr:colOff>78441</xdr:colOff>
      <xdr:row>8</xdr:row>
      <xdr:rowOff>3075</xdr:rowOff>
    </xdr:from>
    <xdr:ext cx="7182971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CBC6864-47B6-4197-8D19-E4A2D4B55BF2}"/>
                </a:ext>
              </a:extLst>
            </xdr:cNvPr>
            <xdr:cNvSpPr txBox="1"/>
          </xdr:nvSpPr>
          <xdr:spPr>
            <a:xfrm>
              <a:off x="1636059" y="1616722"/>
              <a:ext cx="718297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𝑇𝐶𝑀𝐷</m:t>
                      </m:r>
                    </m:e>
                    <m: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𝑀𝑜𝑛𝑡h</m:t>
                      </m:r>
                    </m:sub>
                  </m:sSub>
                  <m:r>
                    <a:rPr lang="en-US" sz="120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1200" b="0" i="1">
                      <a:latin typeface="Cambria Math" panose="02040503050406030204" pitchFamily="18" charset="0"/>
                    </a:rPr>
                    <m:t>𝐴𝑣𝑒𝑟𝑎𝑔𝑒</m:t>
                  </m:r>
                  <m:r>
                    <a:rPr lang="en-US" sz="1200" b="0" i="1">
                      <a:latin typeface="Cambria Math" panose="02040503050406030204" pitchFamily="18" charset="0"/>
                    </a:rPr>
                    <m:t>(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d>
                        <m:dPr>
                          <m:begChr m:val="["/>
                          <m:endChr m:val="]"/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𝑌𝑒𝑎𝑟</m:t>
                          </m:r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3</m:t>
                          </m:r>
                        </m:e>
                      </m:d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d>
                        <m:dPr>
                          <m:begChr m:val="["/>
                          <m:endChr m:val="]"/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𝑌𝑒𝑎𝑟</m:t>
                          </m:r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2</m:t>
                          </m:r>
                        </m:e>
                      </m:d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[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𝑌𝑒𝑎𝑟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1]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</m:oMath>
              </a14:m>
              <a:r>
                <a:rPr lang="en-US" sz="1200"/>
                <a:t>)</a:t>
              </a: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CBC6864-47B6-4197-8D19-E4A2D4B55BF2}"/>
                </a:ext>
              </a:extLst>
            </xdr:cNvPr>
            <xdr:cNvSpPr txBox="1"/>
          </xdr:nvSpPr>
          <xdr:spPr>
            <a:xfrm>
              <a:off x="1636059" y="1616722"/>
              <a:ext cx="718297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200" i="0">
                  <a:latin typeface="Cambria Math" panose="02040503050406030204" pitchFamily="18" charset="0"/>
                </a:rPr>
                <a:t>〖</a:t>
              </a:r>
              <a:r>
                <a:rPr lang="en-US" sz="1200" b="0" i="0">
                  <a:latin typeface="Cambria Math" panose="02040503050406030204" pitchFamily="18" charset="0"/>
                </a:rPr>
                <a:t>𝑇𝐶𝑀𝐷〗_𝑀𝑜𝑛𝑡ℎ</a:t>
              </a:r>
              <a:r>
                <a:rPr lang="en-US" sz="1200" i="0">
                  <a:latin typeface="Cambria Math" panose="02040503050406030204" pitchFamily="18" charset="0"/>
                </a:rPr>
                <a:t>=</a:t>
              </a:r>
              <a:r>
                <a:rPr lang="en-US" sz="1200" b="0" i="0">
                  <a:latin typeface="Cambria Math" panose="02040503050406030204" pitchFamily="18" charset="0"/>
                </a:rPr>
                <a:t>𝐴𝑣𝑒𝑟𝑎𝑔𝑒(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[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𝑌𝑒𝑎𝑟 3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𝐴𝐶𝑀𝐷_𝑀𝑜𝑛𝑡ℎ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[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𝑌𝑒𝑎𝑟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2]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𝐴𝐶𝑀𝐷_𝑀𝑜𝑛𝑡ℎ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〖[𝑌𝑒𝑎𝑟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]𝐴𝐶𝑀𝐷〗_(𝑀𝑜𝑛𝑡ℎ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1200"/>
                <a:t>)</a:t>
              </a:r>
            </a:p>
          </xdr:txBody>
        </xdr:sp>
      </mc:Fallback>
    </mc:AlternateContent>
    <xdr:clientData/>
  </xdr:oneCellAnchor>
  <xdr:oneCellAnchor>
    <xdr:from>
      <xdr:col>2</xdr:col>
      <xdr:colOff>96370</xdr:colOff>
      <xdr:row>7</xdr:row>
      <xdr:rowOff>9797</xdr:rowOff>
    </xdr:from>
    <xdr:ext cx="7182971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3A4A61D-46E0-4198-B5C3-81754449546D}"/>
                </a:ext>
              </a:extLst>
            </xdr:cNvPr>
            <xdr:cNvSpPr txBox="1"/>
          </xdr:nvSpPr>
          <xdr:spPr>
            <a:xfrm>
              <a:off x="1653988" y="1432944"/>
              <a:ext cx="718297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𝑇𝐶𝑀𝐷</m:t>
                      </m:r>
                    </m:e>
                    <m: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𝑀𝑜𝑛𝑡h</m:t>
                      </m:r>
                    </m:sub>
                  </m:sSub>
                  <m:r>
                    <a:rPr lang="en-US" sz="120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1200" b="0" i="1">
                      <a:latin typeface="Cambria Math" panose="02040503050406030204" pitchFamily="18" charset="0"/>
                    </a:rPr>
                    <m:t>𝐴𝑣𝑒𝑟𝑎𝑔𝑒</m:t>
                  </m:r>
                  <m:r>
                    <a:rPr lang="en-US" sz="1200" b="0" i="1">
                      <a:latin typeface="Cambria Math" panose="02040503050406030204" pitchFamily="18" charset="0"/>
                    </a:rPr>
                    <m:t>(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d>
                        <m:dPr>
                          <m:begChr m:val="["/>
                          <m:endChr m:val="]"/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𝑌𝑒𝑎𝑟</m:t>
                          </m:r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2</m:t>
                          </m:r>
                        </m:e>
                      </m:d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[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𝑌𝑒𝑎𝑟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1]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</m:sub>
                  </m:sSub>
                </m:oMath>
              </a14:m>
              <a:r>
                <a:rPr lang="en-US" sz="1200"/>
                <a:t>)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3A4A61D-46E0-4198-B5C3-81754449546D}"/>
                </a:ext>
              </a:extLst>
            </xdr:cNvPr>
            <xdr:cNvSpPr txBox="1"/>
          </xdr:nvSpPr>
          <xdr:spPr>
            <a:xfrm>
              <a:off x="1653988" y="1432944"/>
              <a:ext cx="718297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200" i="0">
                  <a:latin typeface="Cambria Math" panose="02040503050406030204" pitchFamily="18" charset="0"/>
                </a:rPr>
                <a:t>〖</a:t>
              </a:r>
              <a:r>
                <a:rPr lang="en-US" sz="1200" b="0" i="0">
                  <a:latin typeface="Cambria Math" panose="02040503050406030204" pitchFamily="18" charset="0"/>
                </a:rPr>
                <a:t>𝑇𝐶𝑀𝐷〗_𝑀𝑜𝑛𝑡ℎ</a:t>
              </a:r>
              <a:r>
                <a:rPr lang="en-US" sz="1200" i="0">
                  <a:latin typeface="Cambria Math" panose="02040503050406030204" pitchFamily="18" charset="0"/>
                </a:rPr>
                <a:t>=</a:t>
              </a:r>
              <a:r>
                <a:rPr lang="en-US" sz="1200" b="0" i="0">
                  <a:latin typeface="Cambria Math" panose="02040503050406030204" pitchFamily="18" charset="0"/>
                </a:rPr>
                <a:t>𝐴𝑣𝑒𝑟𝑎𝑔𝑒(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[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𝑌𝑒𝑎𝑟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2]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𝐴𝐶𝑀𝐷_𝑀𝑜𝑛𝑡ℎ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〖[𝑌𝑒𝑎𝑟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]𝐴𝐶𝑀𝐷〗_𝑀𝑜𝑛𝑡ℎ</a:t>
              </a:r>
              <a:r>
                <a:rPr lang="en-US" sz="1200"/>
                <a:t>)</a:t>
              </a:r>
            </a:p>
          </xdr:txBody>
        </xdr:sp>
      </mc:Fallback>
    </mc:AlternateContent>
    <xdr:clientData/>
  </xdr:oneCellAnchor>
  <xdr:oneCellAnchor>
    <xdr:from>
      <xdr:col>2</xdr:col>
      <xdr:colOff>100852</xdr:colOff>
      <xdr:row>6</xdr:row>
      <xdr:rowOff>5316</xdr:rowOff>
    </xdr:from>
    <xdr:ext cx="4988860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CC73F766-74BA-4234-9376-D01E56A697ED}"/>
                </a:ext>
              </a:extLst>
            </xdr:cNvPr>
            <xdr:cNvSpPr txBox="1"/>
          </xdr:nvSpPr>
          <xdr:spPr>
            <a:xfrm>
              <a:off x="1658470" y="1237963"/>
              <a:ext cx="498886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𝑇𝐶𝑀𝐷</m:t>
                      </m:r>
                    </m:e>
                    <m: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𝑀𝑜𝑛𝑡h</m:t>
                      </m:r>
                    </m:sub>
                  </m:sSub>
                  <m:r>
                    <a:rPr lang="en-US" sz="120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1200" b="0" i="1">
                      <a:latin typeface="Cambria Math" panose="02040503050406030204" pitchFamily="18" charset="0"/>
                    </a:rPr>
                    <m:t>𝐴𝑣𝑒𝑟𝑎𝑔𝑒</m:t>
                  </m:r>
                  <m:r>
                    <a:rPr lang="en-US" sz="1200" b="0" i="1">
                      <a:latin typeface="Cambria Math" panose="02040503050406030204" pitchFamily="18" charset="0"/>
                    </a:rPr>
                    <m:t>( </m:t>
                  </m:r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[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𝑌𝑒𝑎𝑟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1]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</m:oMath>
              </a14:m>
              <a:r>
                <a:rPr lang="en-US" sz="1200"/>
                <a:t>)</a:t>
              </a:r>
              <a:r>
                <a:rPr lang="en-US" sz="1100"/>
                <a:t> =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[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𝑌𝑒𝑎𝑟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1]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𝐴𝐶𝑀𝐷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𝑀𝑜𝑛𝑡h</m:t>
                      </m:r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</m:oMath>
              </a14:m>
              <a:endParaRPr lang="en-US" sz="12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CC73F766-74BA-4234-9376-D01E56A697ED}"/>
                </a:ext>
              </a:extLst>
            </xdr:cNvPr>
            <xdr:cNvSpPr txBox="1"/>
          </xdr:nvSpPr>
          <xdr:spPr>
            <a:xfrm>
              <a:off x="1658470" y="1237963"/>
              <a:ext cx="498886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200" i="0">
                  <a:latin typeface="Cambria Math" panose="02040503050406030204" pitchFamily="18" charset="0"/>
                </a:rPr>
                <a:t>〖</a:t>
              </a:r>
              <a:r>
                <a:rPr lang="en-US" sz="1200" b="0" i="0">
                  <a:latin typeface="Cambria Math" panose="02040503050406030204" pitchFamily="18" charset="0"/>
                </a:rPr>
                <a:t>𝑇𝐶𝑀𝐷〗_𝑀𝑜𝑛𝑡ℎ</a:t>
              </a:r>
              <a:r>
                <a:rPr lang="en-US" sz="1200" i="0">
                  <a:latin typeface="Cambria Math" panose="02040503050406030204" pitchFamily="18" charset="0"/>
                </a:rPr>
                <a:t>=</a:t>
              </a:r>
              <a:r>
                <a:rPr lang="en-US" sz="1200" b="0" i="0">
                  <a:latin typeface="Cambria Math" panose="02040503050406030204" pitchFamily="18" charset="0"/>
                </a:rPr>
                <a:t>𝐴𝑣𝑒𝑟𝑎𝑔𝑒(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〖[𝑌𝑒𝑎𝑟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]𝐴𝐶𝑀𝐷〗_(𝑀𝑜𝑛𝑡ℎ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1200"/>
                <a:t>)</a:t>
              </a:r>
              <a:r>
                <a:rPr lang="en-US" sz="1100"/>
                <a:t> =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〖[𝑌𝑒𝑎𝑟 1]𝐴𝐶𝑀𝐷〗_(𝑀𝑜𝑛𝑡ℎ )</a:t>
              </a:r>
              <a:endParaRPr lang="en-US" sz="12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tigation/Bill-Impact-Tool-v0.3%20Slave%20Lake%20Pulp%20ADJU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"/>
      <sheetName val="Annual Summary"/>
      <sheetName val="Adjust Load Profile"/>
      <sheetName val="Site Data Input"/>
      <sheetName val="Year 2020"/>
      <sheetName val="Year 2019"/>
      <sheetName val="Year 2018"/>
      <sheetName val="Year 2017"/>
      <sheetName val="Year 2016"/>
      <sheetName val="Lookup"/>
    </sheetNames>
    <sheetDataSet>
      <sheetData sheetId="0"/>
      <sheetData sheetId="1"/>
      <sheetData sheetId="2"/>
      <sheetData sheetId="3">
        <row r="2">
          <cell r="B2" t="str">
            <v>APL</v>
          </cell>
          <cell r="C2" t="str">
            <v>AEC Mill (844S) - Slave Lake Pulp</v>
          </cell>
          <cell r="D2">
            <v>1002940</v>
          </cell>
        </row>
      </sheetData>
      <sheetData sheetId="4"/>
      <sheetData sheetId="5"/>
      <sheetData sheetId="6"/>
      <sheetData sheetId="7"/>
      <sheetData sheetId="8"/>
      <sheetData sheetId="9">
        <row r="29">
          <cell r="B29" t="str">
            <v>Year</v>
          </cell>
          <cell r="C29" t="str">
            <v>Hours</v>
          </cell>
        </row>
        <row r="30">
          <cell r="B30">
            <v>2020</v>
          </cell>
          <cell r="C30">
            <v>8784</v>
          </cell>
        </row>
        <row r="31">
          <cell r="B31">
            <v>2019</v>
          </cell>
          <cell r="C31">
            <v>8760</v>
          </cell>
        </row>
        <row r="32">
          <cell r="B32">
            <v>2018</v>
          </cell>
          <cell r="C32">
            <v>8760</v>
          </cell>
        </row>
        <row r="33">
          <cell r="B33">
            <v>2017</v>
          </cell>
          <cell r="C33">
            <v>8760</v>
          </cell>
        </row>
        <row r="34">
          <cell r="B34">
            <v>2016</v>
          </cell>
          <cell r="C34">
            <v>8784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riffdesign@aeso.c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2E786-085A-46D6-934E-D51892C9E1B9}">
  <sheetPr>
    <pageSetUpPr fitToPage="1"/>
  </sheetPr>
  <dimension ref="A9:G58"/>
  <sheetViews>
    <sheetView showGridLines="0" tabSelected="1" zoomScale="115" zoomScaleNormal="115" workbookViewId="0">
      <selection activeCell="B16" sqref="B16:G16"/>
    </sheetView>
  </sheetViews>
  <sheetFormatPr defaultColWidth="9.140625" defaultRowHeight="12.75"/>
  <cols>
    <col min="1" max="1" width="7.5703125" style="25" customWidth="1"/>
    <col min="2" max="2" width="12.5703125" style="25" customWidth="1"/>
    <col min="3" max="3" width="19.42578125" style="25" customWidth="1"/>
    <col min="4" max="4" width="21.42578125" style="25" customWidth="1"/>
    <col min="5" max="5" width="20.85546875" style="25" customWidth="1"/>
    <col min="6" max="6" width="12.5703125" style="25" customWidth="1"/>
    <col min="7" max="7" width="7.5703125" style="25" customWidth="1"/>
    <col min="8" max="16384" width="9.140625" style="25"/>
  </cols>
  <sheetData>
    <row r="9" spans="2:7" s="11" customFormat="1" ht="6.6" customHeight="1">
      <c r="B9" s="51" t="s">
        <v>42</v>
      </c>
      <c r="C9" s="51"/>
      <c r="D9" s="51"/>
      <c r="E9" s="51"/>
      <c r="F9" s="51"/>
    </row>
    <row r="10" spans="2:7" s="11" customFormat="1" ht="12.75" customHeight="1">
      <c r="B10" s="51"/>
      <c r="C10" s="51"/>
      <c r="D10" s="51"/>
      <c r="E10" s="51"/>
      <c r="F10" s="51"/>
    </row>
    <row r="11" spans="2:7" s="11" customFormat="1" ht="12.75" customHeight="1">
      <c r="B11" s="51"/>
      <c r="C11" s="51"/>
      <c r="D11" s="51"/>
      <c r="E11" s="51"/>
      <c r="F11" s="51"/>
    </row>
    <row r="12" spans="2:7" s="11" customFormat="1" ht="12.75" customHeight="1">
      <c r="B12" s="51"/>
      <c r="C12" s="51"/>
      <c r="D12" s="51"/>
      <c r="E12" s="51"/>
      <c r="F12" s="51"/>
    </row>
    <row r="13" spans="2:7" s="12" customFormat="1" ht="6.75" customHeight="1"/>
    <row r="14" spans="2:7" s="14" customFormat="1" ht="15.75">
      <c r="B14" s="13" t="s">
        <v>28</v>
      </c>
    </row>
    <row r="15" spans="2:7" s="15" customFormat="1" ht="6.75" customHeight="1"/>
    <row r="16" spans="2:7" s="16" customFormat="1" ht="54.75" customHeight="1">
      <c r="B16" s="52" t="s">
        <v>58</v>
      </c>
      <c r="C16" s="52"/>
      <c r="D16" s="52"/>
      <c r="E16" s="52"/>
      <c r="F16" s="52"/>
      <c r="G16" s="52"/>
    </row>
    <row r="17" spans="1:7" s="12" customFormat="1" ht="9.4" customHeight="1"/>
    <row r="18" spans="1:7" s="16" customFormat="1" ht="69.95" customHeight="1">
      <c r="B18" s="53" t="s">
        <v>67</v>
      </c>
      <c r="C18" s="53"/>
      <c r="D18" s="53"/>
      <c r="E18" s="53"/>
      <c r="F18" s="53"/>
      <c r="G18" s="53"/>
    </row>
    <row r="19" spans="1:7" s="11" customFormat="1" ht="6.75" customHeight="1"/>
    <row r="20" spans="1:7" s="14" customFormat="1" ht="15.75">
      <c r="B20" s="13" t="s">
        <v>46</v>
      </c>
    </row>
    <row r="21" spans="1:7" s="15" customFormat="1" ht="6.75"/>
    <row r="22" spans="1:7" s="16" customFormat="1" ht="39" customHeight="1">
      <c r="B22" s="52" t="s">
        <v>59</v>
      </c>
      <c r="C22" s="52"/>
      <c r="D22" s="52"/>
      <c r="E22" s="52"/>
      <c r="F22" s="52"/>
      <c r="G22" s="52"/>
    </row>
    <row r="23" spans="1:7" s="17" customFormat="1" ht="6.75" customHeight="1"/>
    <row r="24" spans="1:7" s="19" customFormat="1" ht="16.5" customHeight="1">
      <c r="A24" s="18"/>
      <c r="B24" s="54" t="s">
        <v>68</v>
      </c>
      <c r="C24" s="54"/>
      <c r="D24" s="54"/>
      <c r="E24" s="54"/>
      <c r="F24" s="54"/>
      <c r="G24" s="54"/>
    </row>
    <row r="25" spans="1:7" s="11" customFormat="1" ht="27.75" customHeight="1">
      <c r="B25" s="56" t="s">
        <v>60</v>
      </c>
      <c r="C25" s="56"/>
      <c r="D25" s="56"/>
      <c r="E25" s="56"/>
      <c r="F25" s="56"/>
      <c r="G25" s="56"/>
    </row>
    <row r="26" spans="1:7" s="12" customFormat="1" ht="6.75" customHeight="1"/>
    <row r="27" spans="1:7" s="19" customFormat="1" ht="28.5" customHeight="1">
      <c r="A27" s="18"/>
      <c r="B27" s="57" t="s">
        <v>43</v>
      </c>
      <c r="C27" s="57"/>
      <c r="D27" s="57"/>
      <c r="E27" s="57"/>
      <c r="F27" s="57"/>
      <c r="G27" s="57"/>
    </row>
    <row r="28" spans="1:7" s="11" customFormat="1" ht="25.5" customHeight="1">
      <c r="B28" s="58" t="s">
        <v>61</v>
      </c>
      <c r="C28" s="58"/>
      <c r="D28" s="58"/>
      <c r="E28" s="58"/>
      <c r="F28" s="58"/>
      <c r="G28" s="58"/>
    </row>
    <row r="29" spans="1:7" s="12" customFormat="1" ht="6.75" customHeight="1"/>
    <row r="30" spans="1:7" s="19" customFormat="1" ht="16.5" customHeight="1">
      <c r="A30" s="18"/>
      <c r="B30" s="55" t="s">
        <v>44</v>
      </c>
      <c r="C30" s="55"/>
      <c r="D30" s="55"/>
      <c r="E30" s="55"/>
      <c r="F30" s="55"/>
      <c r="G30" s="55"/>
    </row>
    <row r="31" spans="1:7" s="11" customFormat="1" ht="16.5" customHeight="1">
      <c r="B31" s="59" t="s">
        <v>62</v>
      </c>
      <c r="C31" s="59"/>
      <c r="D31" s="59"/>
      <c r="E31" s="59"/>
      <c r="F31" s="59"/>
      <c r="G31" s="59"/>
    </row>
    <row r="32" spans="1:7" s="12" customFormat="1" ht="6.75" customHeight="1"/>
    <row r="33" spans="2:6" s="11" customFormat="1" ht="6.75" customHeight="1"/>
    <row r="34" spans="2:6" s="11" customFormat="1">
      <c r="B34" s="20" t="s">
        <v>29</v>
      </c>
      <c r="C34" s="20"/>
      <c r="D34" s="20"/>
      <c r="E34" s="21"/>
      <c r="F34" s="21" t="s">
        <v>30</v>
      </c>
    </row>
    <row r="35" spans="2:6" s="11" customFormat="1"/>
    <row r="36" spans="2:6" s="22" customFormat="1">
      <c r="B36" s="13" t="s">
        <v>31</v>
      </c>
    </row>
    <row r="37" spans="2:6" s="22" customFormat="1" ht="6.75" customHeight="1"/>
    <row r="38" spans="2:6" s="22" customFormat="1">
      <c r="B38" s="23" t="s">
        <v>63</v>
      </c>
    </row>
    <row r="39" spans="2:6" s="22" customFormat="1">
      <c r="B39" s="23" t="s">
        <v>64</v>
      </c>
    </row>
    <row r="40" spans="2:6" s="22" customFormat="1">
      <c r="B40" s="23" t="s">
        <v>45</v>
      </c>
    </row>
    <row r="41" spans="2:6" s="22" customFormat="1">
      <c r="B41" s="23" t="s">
        <v>65</v>
      </c>
    </row>
    <row r="42" spans="2:6" s="11" customFormat="1">
      <c r="B42" s="24"/>
    </row>
    <row r="43" spans="2:6" ht="15.75">
      <c r="B43" s="13" t="s">
        <v>32</v>
      </c>
      <c r="C43" s="14"/>
      <c r="D43" s="14"/>
      <c r="E43" s="14"/>
      <c r="F43" s="14"/>
    </row>
    <row r="44" spans="2:6" s="26" customFormat="1" ht="6.75"/>
    <row r="45" spans="2:6" s="31" customFormat="1" ht="22.35" customHeight="1">
      <c r="B45" s="27" t="s">
        <v>33</v>
      </c>
      <c r="C45" s="28" t="s">
        <v>34</v>
      </c>
      <c r="D45" s="29"/>
      <c r="E45" s="29"/>
      <c r="F45" s="30"/>
    </row>
    <row r="46" spans="2:6" s="31" customFormat="1" ht="25.5" customHeight="1">
      <c r="B46" s="32" t="s">
        <v>40</v>
      </c>
      <c r="C46" s="33" t="s">
        <v>41</v>
      </c>
      <c r="D46" s="34"/>
      <c r="E46" s="34"/>
      <c r="F46" s="35"/>
    </row>
    <row r="47" spans="2:6" s="11" customFormat="1"/>
    <row r="48" spans="2:6" s="11" customFormat="1" ht="18" customHeight="1"/>
    <row r="49" spans="1:2" s="11" customFormat="1"/>
    <row r="50" spans="1:2" s="11" customFormat="1" ht="13.5">
      <c r="B50" s="36" t="s">
        <v>35</v>
      </c>
    </row>
    <row r="51" spans="1:2" s="11" customFormat="1">
      <c r="B51" s="36" t="s">
        <v>36</v>
      </c>
    </row>
    <row r="52" spans="1:2" s="37" customFormat="1" ht="12" customHeight="1">
      <c r="B52" s="36" t="s">
        <v>37</v>
      </c>
    </row>
    <row r="53" spans="1:2" s="37" customFormat="1" ht="12" customHeight="1">
      <c r="B53" s="38" t="s">
        <v>38</v>
      </c>
    </row>
    <row r="54" spans="1:2" s="37" customFormat="1" ht="12" customHeight="1"/>
    <row r="55" spans="1:2" s="39" customFormat="1" ht="12" customHeight="1"/>
    <row r="56" spans="1:2" s="11" customFormat="1">
      <c r="A56" s="11" t="s">
        <v>39</v>
      </c>
    </row>
    <row r="57" spans="1:2" s="40" customFormat="1"/>
    <row r="58" spans="1:2" ht="18" customHeight="1"/>
  </sheetData>
  <mergeCells count="10">
    <mergeCell ref="B30:G30"/>
    <mergeCell ref="B25:G25"/>
    <mergeCell ref="B27:G27"/>
    <mergeCell ref="B28:G28"/>
    <mergeCell ref="B31:G31"/>
    <mergeCell ref="B9:F12"/>
    <mergeCell ref="B16:G16"/>
    <mergeCell ref="B18:G18"/>
    <mergeCell ref="B22:G22"/>
    <mergeCell ref="B24:G24"/>
  </mergeCells>
  <hyperlinks>
    <hyperlink ref="F34" r:id="rId1" xr:uid="{133D074F-D598-404C-B222-F98A714857ED}"/>
  </hyperlinks>
  <pageMargins left="0.25" right="0.25" top="0.25" bottom="0.5" header="0.35" footer="0.3"/>
  <pageSetup orientation="portrait" r:id="rId2"/>
  <headerFooter alignWithMargins="0">
    <oddFooter>&amp;L&amp;8Posted: 2021-01-08&amp;C&amp;8Page 1&amp;R&amp;8Public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0EA7-BE66-45FE-9F37-C09EA0C93743}">
  <sheetPr>
    <tabColor theme="9" tint="0.59999389629810485"/>
  </sheetPr>
  <dimension ref="A1:N27"/>
  <sheetViews>
    <sheetView zoomScaleNormal="100" workbookViewId="0">
      <selection activeCell="F5" sqref="F5"/>
    </sheetView>
  </sheetViews>
  <sheetFormatPr defaultRowHeight="15"/>
  <cols>
    <col min="1" max="1" width="11.28515625" customWidth="1"/>
    <col min="2" max="2" width="12.140625" style="3" customWidth="1"/>
    <col min="3" max="3" width="25" customWidth="1"/>
    <col min="4" max="4" width="28.5703125" customWidth="1"/>
    <col min="5" max="10" width="21" customWidth="1"/>
    <col min="11" max="14" width="28.5703125" customWidth="1"/>
    <col min="15" max="15" width="17.5703125" customWidth="1"/>
  </cols>
  <sheetData>
    <row r="1" spans="1:14" ht="18.75">
      <c r="A1" s="49" t="s">
        <v>66</v>
      </c>
    </row>
    <row r="2" spans="1:14" ht="18.75">
      <c r="A2" s="48" t="s">
        <v>48</v>
      </c>
      <c r="B2" s="41"/>
      <c r="C2" s="41"/>
    </row>
    <row r="3" spans="1:14">
      <c r="B3" s="3" t="s">
        <v>25</v>
      </c>
      <c r="C3" s="41" t="s">
        <v>49</v>
      </c>
    </row>
    <row r="4" spans="1:14">
      <c r="B4" s="3" t="s">
        <v>26</v>
      </c>
      <c r="C4" s="41" t="s">
        <v>56</v>
      </c>
    </row>
    <row r="5" spans="1:14">
      <c r="C5" s="41"/>
    </row>
    <row r="6" spans="1:14" ht="18.75">
      <c r="A6" s="48" t="s">
        <v>47</v>
      </c>
      <c r="B6" s="41"/>
      <c r="C6" s="41"/>
    </row>
    <row r="7" spans="1:14">
      <c r="B7" s="7" t="s">
        <v>51</v>
      </c>
      <c r="C7" s="41"/>
    </row>
    <row r="8" spans="1:14">
      <c r="B8" s="7" t="s">
        <v>52</v>
      </c>
      <c r="C8" s="41"/>
    </row>
    <row r="9" spans="1:14">
      <c r="B9" s="7" t="s">
        <v>53</v>
      </c>
      <c r="C9" s="41"/>
    </row>
    <row r="10" spans="1:14">
      <c r="B10" s="7" t="s">
        <v>54</v>
      </c>
      <c r="C10" s="41"/>
    </row>
    <row r="11" spans="1:14">
      <c r="B11" s="7" t="s">
        <v>55</v>
      </c>
      <c r="C11" s="41"/>
    </row>
    <row r="15" spans="1:14" s="1" customFormat="1">
      <c r="A15" s="42" t="s">
        <v>50</v>
      </c>
      <c r="B15" s="42"/>
      <c r="C15" s="42" t="s">
        <v>0</v>
      </c>
      <c r="D15" s="42" t="s">
        <v>1</v>
      </c>
      <c r="E15" s="42" t="s">
        <v>2</v>
      </c>
      <c r="F15" s="42" t="s">
        <v>3</v>
      </c>
      <c r="G15" s="42" t="s">
        <v>4</v>
      </c>
      <c r="H15" s="42" t="s">
        <v>5</v>
      </c>
      <c r="I15" s="42" t="s">
        <v>6</v>
      </c>
      <c r="J15" s="42" t="s">
        <v>7</v>
      </c>
      <c r="K15" s="42" t="s">
        <v>8</v>
      </c>
      <c r="L15" s="42" t="s">
        <v>9</v>
      </c>
      <c r="M15" s="42" t="s">
        <v>10</v>
      </c>
      <c r="N15" s="42" t="s">
        <v>11</v>
      </c>
    </row>
    <row r="16" spans="1:14" ht="36.75" customHeight="1">
      <c r="A16" s="43"/>
      <c r="B16" s="44" t="s">
        <v>12</v>
      </c>
      <c r="C16" s="45" t="str">
        <f>"=Average (Year 1 January ACMD)"</f>
        <v>=Average (Year 1 January ACMD)</v>
      </c>
      <c r="D16" s="45" t="str">
        <f>"=Average (Year 1 February ACMD)"</f>
        <v>=Average (Year 1 February ACMD)</v>
      </c>
      <c r="E16" s="45" t="str">
        <f>"=Average (Year 1 March ACMD)"</f>
        <v>=Average (Year 1 March ACMD)</v>
      </c>
      <c r="F16" s="45" t="str">
        <f>"=Average (Year 1 April ACMD)"</f>
        <v>=Average (Year 1 April ACMD)</v>
      </c>
      <c r="G16" s="45" t="str">
        <f>"=Average (Year 1 May ACMD)"</f>
        <v>=Average (Year 1 May ACMD)</v>
      </c>
      <c r="H16" s="45" t="str">
        <f>"=Average (Year 1 June ACMD)"</f>
        <v>=Average (Year 1 June ACMD)</v>
      </c>
      <c r="I16" s="45" t="str">
        <f>"=Average (Year 1 July ACMD)"</f>
        <v>=Average (Year 1 July ACMD)</v>
      </c>
      <c r="J16" s="45" t="str">
        <f>"=Average (Year 1 August ACMD)"</f>
        <v>=Average (Year 1 August ACMD)</v>
      </c>
      <c r="K16" s="45" t="str">
        <f>"=Average (Year 1 September ACMD)"</f>
        <v>=Average (Year 1 September ACMD)</v>
      </c>
      <c r="L16" s="45" t="str">
        <f>"=Average (Year 1 October ACMD)"</f>
        <v>=Average (Year 1 October ACMD)</v>
      </c>
      <c r="M16" s="45" t="str">
        <f>"=Average (Year 1 November ACMD)"</f>
        <v>=Average (Year 1 November ACMD)</v>
      </c>
      <c r="N16" s="45" t="str">
        <f>"=Average (Year 1 December ACMD)"</f>
        <v>=Average (Year 1 December ACMD)</v>
      </c>
    </row>
    <row r="17" spans="1:14" s="10" customFormat="1" ht="45">
      <c r="A17" s="46"/>
      <c r="B17" s="47" t="s">
        <v>13</v>
      </c>
      <c r="C17" s="45" t="str">
        <f>"=Average (Year 2 January ACMD,
Year 1 January ACMD)"</f>
        <v>=Average (Year 2 January ACMD,
Year 1 January ACMD)</v>
      </c>
      <c r="D17" s="45" t="str">
        <f>"=Average (Year 2 February ACMD,
Year 1 February ACMD)"</f>
        <v>=Average (Year 2 February ACMD,
Year 1 February ACMD)</v>
      </c>
      <c r="E17" s="45" t="str">
        <f>"=Average (Year 2 March ACMD,
Year 1 March ACMD)"</f>
        <v>=Average (Year 2 March ACMD,
Year 1 March ACMD)</v>
      </c>
      <c r="F17" s="45" t="str">
        <f>"=Average (Year 2 April ACMD,
Year 1 April ACMD)"</f>
        <v>=Average (Year 2 April ACMD,
Year 1 April ACMD)</v>
      </c>
      <c r="G17" s="45" t="str">
        <f>"=Average (Year 2 May ACMD,
Year 1 May ACMD)"</f>
        <v>=Average (Year 2 May ACMD,
Year 1 May ACMD)</v>
      </c>
      <c r="H17" s="45" t="str">
        <f>"=Average (Year 2 June ACMD,
Year 1 June ACMD)"</f>
        <v>=Average (Year 2 June ACMD,
Year 1 June ACMD)</v>
      </c>
      <c r="I17" s="45" t="str">
        <f>"=Average (Year 2 July ACMD,
Year 1 July ACMD)"</f>
        <v>=Average (Year 2 July ACMD,
Year 1 July ACMD)</v>
      </c>
      <c r="J17" s="45" t="str">
        <f>"=Average (Year 2 August ACMD,
Year 1 August ACMD)"</f>
        <v>=Average (Year 2 August ACMD,
Year 1 August ACMD)</v>
      </c>
      <c r="K17" s="45" t="str">
        <f>"=Average (Year 2 September ACMD,
Year 1 September ACMD)"</f>
        <v>=Average (Year 2 September ACMD,
Year 1 September ACMD)</v>
      </c>
      <c r="L17" s="45" t="str">
        <f>"=Average (Year 2 October ACMD,
Year 1 October ACMD)"</f>
        <v>=Average (Year 2 October ACMD,
Year 1 October ACMD)</v>
      </c>
      <c r="M17" s="45" t="str">
        <f>"=Average (Year 2 November ACMD,
Year 1 November ACMD)"</f>
        <v>=Average (Year 2 November ACMD,
Year 1 November ACMD)</v>
      </c>
      <c r="N17" s="45" t="str">
        <f>"=Average (Year 2 December ACMD,
Year 1 December ACMD)"</f>
        <v>=Average (Year 2 December ACMD,
Year 1 December ACMD)</v>
      </c>
    </row>
    <row r="18" spans="1:14" ht="66.75" customHeight="1">
      <c r="A18" s="43"/>
      <c r="B18" s="44" t="s">
        <v>14</v>
      </c>
      <c r="C18" s="45" t="str">
        <f>"=Average (Year 3 January ACMD,
Year 2 January ACMD,
Year 1 January ACMD)"</f>
        <v>=Average (Year 3 January ACMD,
Year 2 January ACMD,
Year 1 January ACMD)</v>
      </c>
      <c r="D18" s="45" t="str">
        <f>"=Average (Year 3 February ACMD,
Year 2 February ACMD,
Year 1 February ACMD)"</f>
        <v>=Average (Year 3 February ACMD,
Year 2 February ACMD,
Year 1 February ACMD)</v>
      </c>
      <c r="E18" s="45" t="str">
        <f>"=Average (Year 3 March ACMD,
Year 2 March ACMD,
Year 1 March ACMD)"</f>
        <v>=Average (Year 3 March ACMD,
Year 2 March ACMD,
Year 1 March ACMD)</v>
      </c>
      <c r="F18" s="45" t="str">
        <f>"=Average (Year 3 April ACMD,
Year 2 April ACMD,
Year 1 April ACMD)"</f>
        <v>=Average (Year 3 April ACMD,
Year 2 April ACMD,
Year 1 April ACMD)</v>
      </c>
      <c r="G18" s="45" t="str">
        <f>"=Average (Year 3 May ACMD,
Year 2 May ACMD,
Year 1 May ACMD)"</f>
        <v>=Average (Year 3 May ACMD,
Year 2 May ACMD,
Year 1 May ACMD)</v>
      </c>
      <c r="H18" s="45" t="str">
        <f>"=Average (Year 3 June ACMD,
Year 2 June ACMD,
Year 1 June ACMD)"</f>
        <v>=Average (Year 3 June ACMD,
Year 2 June ACMD,
Year 1 June ACMD)</v>
      </c>
      <c r="I18" s="45" t="str">
        <f>"=Average (Year 3 July ACMD,
Year 2 July ACMD,
Year 1 July ACMD)"</f>
        <v>=Average (Year 3 July ACMD,
Year 2 July ACMD,
Year 1 July ACMD)</v>
      </c>
      <c r="J18" s="45" t="str">
        <f>"=Average (Year 3 August ACMD,
Year 2 August ACMD,
Year 1 August ACMD)"</f>
        <v>=Average (Year 3 August ACMD,
Year 2 August ACMD,
Year 1 August ACMD)</v>
      </c>
      <c r="K18" s="45" t="str">
        <f>"=Average (Year 3 September ACMD,
Year 2 September ACMD,
Year 1 September ACMD)"</f>
        <v>=Average (Year 3 September ACMD,
Year 2 September ACMD,
Year 1 September ACMD)</v>
      </c>
      <c r="L18" s="45" t="str">
        <f>"=Average (Year 3 October ACMD,
Year 2 October ACMD,
Year 1 October ACMD)"</f>
        <v>=Average (Year 3 October ACMD,
Year 2 October ACMD,
Year 1 October ACMD)</v>
      </c>
      <c r="M18" s="45" t="str">
        <f>"=Average (Year 3 November ACMD,
Year 2 November ACMD,
Year 1 November ACMD)"</f>
        <v>=Average (Year 3 November ACMD,
Year 2 November ACMD,
Year 1 November ACMD)</v>
      </c>
      <c r="N18" s="45" t="str">
        <f>"=Average (Year 3 December ACMD,
Year 2 December ACMD,
Year 1 December ACMD)"</f>
        <v>=Average (Year 3 December ACMD,
Year 2 December ACMD,
Year 1 December ACMD)</v>
      </c>
    </row>
    <row r="19" spans="1:14" ht="75">
      <c r="A19" s="43"/>
      <c r="B19" s="44" t="s">
        <v>15</v>
      </c>
      <c r="C19" s="45" t="str">
        <f>"=Average (Year 4 ACMD,
Year 3 January ACMD,
Year 2 January ACMD,
Year 1 January ACMD)"</f>
        <v>=Average (Year 4 ACMD,
Year 3 January ACMD,
Year 2 January ACMD,
Year 1 January ACMD)</v>
      </c>
      <c r="D19" s="45" t="str">
        <f>"=Average (Year 4 ACMD,
Year 3 February ACMD,
Year 2 February ACMD,
Year 1 February ACMD)"</f>
        <v>=Average (Year 4 ACMD,
Year 3 February ACMD,
Year 2 February ACMD,
Year 1 February ACMD)</v>
      </c>
      <c r="E19" s="45" t="str">
        <f>"=Average (Year 4 ACMD,
Year 3 March ACMD,
Year 2 March ACMD,
Year 1 March ACMD)"</f>
        <v>=Average (Year 4 ACMD,
Year 3 March ACMD,
Year 2 March ACMD,
Year 1 March ACMD)</v>
      </c>
      <c r="F19" s="45" t="str">
        <f>"=Average (Year 4 ACMD,
Year 3 April ACMD,
Year 2 April ACMD,
Year 1 April ACMD)"</f>
        <v>=Average (Year 4 ACMD,
Year 3 April ACMD,
Year 2 April ACMD,
Year 1 April ACMD)</v>
      </c>
      <c r="G19" s="45" t="str">
        <f>"=Average (Year 4 ACMD,
Year 3 May ACMD,
Year 2 May ACMD,
Year 1 May ACMD)"</f>
        <v>=Average (Year 4 ACMD,
Year 3 May ACMD,
Year 2 May ACMD,
Year 1 May ACMD)</v>
      </c>
      <c r="H19" s="45" t="str">
        <f>"=Average (Year 4 ACMD,
Year 3 June ACMD,
Year 2 June ACMD,
Year 1 June ACMD)"</f>
        <v>=Average (Year 4 ACMD,
Year 3 June ACMD,
Year 2 June ACMD,
Year 1 June ACMD)</v>
      </c>
      <c r="I19" s="45" t="str">
        <f>"=Average (Year 4 ACMD,
Year 3 July ACMD,
Year 2 July ACMD,
Year 1 July ACMD)"</f>
        <v>=Average (Year 4 ACMD,
Year 3 July ACMD,
Year 2 July ACMD,
Year 1 July ACMD)</v>
      </c>
      <c r="J19" s="45" t="str">
        <f>"=Average (Year 4 ACMD,
Year 3 August ACMD,
Year 2 August ACMD,
Year 1 August ACMD)"</f>
        <v>=Average (Year 4 ACMD,
Year 3 August ACMD,
Year 2 August ACMD,
Year 1 August ACMD)</v>
      </c>
      <c r="K19" s="45" t="str">
        <f>"=Average (Year 4 ACMD,
Year 3 September ACMD,
Year 2 September ACMD,
Year 1 September ACMD)"</f>
        <v>=Average (Year 4 ACMD,
Year 3 September ACMD,
Year 2 September ACMD,
Year 1 September ACMD)</v>
      </c>
      <c r="L19" s="45" t="str">
        <f>"=Average (Year 4 ACMD,
Year 3 October ACMD,
Year 2 October ACMD,
Year 1 October ACMD)"</f>
        <v>=Average (Year 4 ACMD,
Year 3 October ACMD,
Year 2 October ACMD,
Year 1 October ACMD)</v>
      </c>
      <c r="M19" s="45" t="str">
        <f>"=Average (Year 4 ACMD,
Year 3 November ACMD,
Year 2 November ACMD,
Year 1 November ACMD)"</f>
        <v>=Average (Year 4 ACMD,
Year 3 November ACMD,
Year 2 November ACMD,
Year 1 November ACMD)</v>
      </c>
      <c r="N19" s="45" t="str">
        <f>"=Average (Year 4 ACMD,
Year 3 December ACMD,
Year 2 December ACMD,
Year 1 December ACMD)"</f>
        <v>=Average (Year 4 ACMD,
Year 3 December ACMD,
Year 2 December ACMD,
Year 1 December ACMD)</v>
      </c>
    </row>
    <row r="20" spans="1:14" ht="90">
      <c r="A20" s="43"/>
      <c r="B20" s="44" t="s">
        <v>16</v>
      </c>
      <c r="C20" s="45" t="str">
        <f>"=Average (Year 5 January ACMD,
Year 4 January ACMD,
Year 3 January ACMD,
Year 2 January ACMD,
Year 1 January ACMD)"</f>
        <v>=Average (Year 5 January ACMD,
Year 4 January ACMD,
Year 3 January ACMD,
Year 2 January ACMD,
Year 1 January ACMD)</v>
      </c>
      <c r="D20" s="45" t="str">
        <f>"=Average (Year 5 February ACMD,
Year 4 February ACMD,
Year 3 February ACMD,
Year 2 February ACMD,
Year 1 February ACMD)"</f>
        <v>=Average (Year 5 February ACMD,
Year 4 February ACMD,
Year 3 February ACMD,
Year 2 February ACMD,
Year 1 February ACMD)</v>
      </c>
      <c r="E20" s="45" t="str">
        <f>"=Average (Year 5 March ACMD,
Year 4 March ACMD,
Year 3 March ACMD,
Year 2 March ACMD,
Year 1 March ACMD)"</f>
        <v>=Average (Year 5 March ACMD,
Year 4 March ACMD,
Year 3 March ACMD,
Year 2 March ACMD,
Year 1 March ACMD)</v>
      </c>
      <c r="F20" s="45" t="str">
        <f>"=Average (Year 5 April ACMD,
Year 4 April ACMD,
Year 3 April ACMD,
Year 2 April ACMD,
Year 1 April ACMD)"</f>
        <v>=Average (Year 5 April ACMD,
Year 4 April ACMD,
Year 3 April ACMD,
Year 2 April ACMD,
Year 1 April ACMD)</v>
      </c>
      <c r="G20" s="45" t="str">
        <f>"=Average (Year 5 May ACMD,
Year 4 May ACMD,
Year 3 May ACMD,
Year 2 May ACMD,
Year 1 May ACMD)"</f>
        <v>=Average (Year 5 May ACMD,
Year 4 May ACMD,
Year 3 May ACMD,
Year 2 May ACMD,
Year 1 May ACMD)</v>
      </c>
      <c r="H20" s="45" t="str">
        <f>"=Average (Year 5 June ACMD,
Year 4 June ACMD,
Year 3 June ACMD,
Year 2 June ACMD,
Year 1 June ACMD)"</f>
        <v>=Average (Year 5 June ACMD,
Year 4 June ACMD,
Year 3 June ACMD,
Year 2 June ACMD,
Year 1 June ACMD)</v>
      </c>
      <c r="I20" s="45" t="str">
        <f>"=Average (Year 5 July ACMD,
Year 4 July ACMD,
Year 3 July ACMD,
Year 2 July ACMD,
Year 1 July ACMD)"</f>
        <v>=Average (Year 5 July ACMD,
Year 4 July ACMD,
Year 3 July ACMD,
Year 2 July ACMD,
Year 1 July ACMD)</v>
      </c>
      <c r="J20" s="45" t="str">
        <f>"=Average (Year 5 August ACMD,
Year 4 August ACMD,
Year 3 August ACMD,
Year 2 August ACMD,
Year 1 August ACMD)"</f>
        <v>=Average (Year 5 August ACMD,
Year 4 August ACMD,
Year 3 August ACMD,
Year 2 August ACMD,
Year 1 August ACMD)</v>
      </c>
      <c r="K20" s="45" t="str">
        <f>"=Average (Year 5 September ACMD,
Year 4 September ACMD,
Year 3 September ACMD,
Year 2 September ACMD,
Year 1 September ACMD)"</f>
        <v>=Average (Year 5 September ACMD,
Year 4 September ACMD,
Year 3 September ACMD,
Year 2 September ACMD,
Year 1 September ACMD)</v>
      </c>
      <c r="L20" s="45" t="str">
        <f>"=Average (Year 5 October ACMD,
Year 4 October ACMD,
Year 3 October ACMD,
Year 2 October ACMD,
Year 1 October ACMD)"</f>
        <v>=Average (Year 5 October ACMD,
Year 4 October ACMD,
Year 3 October ACMD,
Year 2 October ACMD,
Year 1 October ACMD)</v>
      </c>
      <c r="M20" s="45" t="str">
        <f>"=Average (Year 5 November ACMD,
Year 4 November ACMD,
Year 3 November ACMD,
Year 2 November ACMD,
Year 1 November ACMD)"</f>
        <v>=Average (Year 5 November ACMD,
Year 4 November ACMD,
Year 3 November ACMD,
Year 2 November ACMD,
Year 1 November ACMD)</v>
      </c>
      <c r="N20" s="45" t="str">
        <f>"=Average (Year 5 December ACMD,
Year 4 December ACMD,
Year 3 December ACMD,
Year 2 December ACMD,
Year 1 December ACMD)"</f>
        <v>=Average (Year 5 December ACMD,
Year 4 December ACMD,
Year 3 December ACMD,
Year 2 December ACMD,
Year 1 December ACMD)</v>
      </c>
    </row>
    <row r="21" spans="1:14" ht="90">
      <c r="A21" s="43"/>
      <c r="B21" s="44" t="s">
        <v>17</v>
      </c>
      <c r="C21" s="45" t="str">
        <f>"=Average (Year 6 January ACMD,
Year 5 January ACMD,
Year 4 January ACMD,
Year 3 January ACMD,
Year 2 January ACMD)"</f>
        <v>=Average (Year 6 January ACMD,
Year 5 January ACMD,
Year 4 January ACMD,
Year 3 January ACMD,
Year 2 January ACMD)</v>
      </c>
      <c r="D21" s="45" t="str">
        <f>"=Average (Year 6 February ACMD,
Year 5 February ACMD,
Year 4 February ACMD,
Year 3 February ACMD,
Year 2 February ACMD)"</f>
        <v>=Average (Year 6 February ACMD,
Year 5 February ACMD,
Year 4 February ACMD,
Year 3 February ACMD,
Year 2 February ACMD)</v>
      </c>
      <c r="E21" s="45" t="str">
        <f>"=Average (Year 6 March ACMD,
Year 5 March ACMD,
Year 4 March ACMD,
Year 3 March ACMD,
Year 2 March ACMD)"</f>
        <v>=Average (Year 6 March ACMD,
Year 5 March ACMD,
Year 4 March ACMD,
Year 3 March ACMD,
Year 2 March ACMD)</v>
      </c>
      <c r="F21" s="45" t="str">
        <f>"=Average (Year 6 April ACMD,
Year 5 April ACMD,
Year 4 April ACMD,
Year 3 April ACMD,
Year 2 April ACMD)"</f>
        <v>=Average (Year 6 April ACMD,
Year 5 April ACMD,
Year 4 April ACMD,
Year 3 April ACMD,
Year 2 April ACMD)</v>
      </c>
      <c r="G21" s="45" t="str">
        <f>"=Average (Year 6 May ACMD,
Year 5 May ACMD,
Year 4 May ACMD,
Year 3 May ACMD,
Year 2 May ACMD)"</f>
        <v>=Average (Year 6 May ACMD,
Year 5 May ACMD,
Year 4 May ACMD,
Year 3 May ACMD,
Year 2 May ACMD)</v>
      </c>
      <c r="H21" s="45" t="str">
        <f>"=Average (Year 6 June ACMD,
Year 5 June ACMD,
Year 4 June ACMD,
Year 3 June ACMD,
Year 2 June ACMD)"</f>
        <v>=Average (Year 6 June ACMD,
Year 5 June ACMD,
Year 4 June ACMD,
Year 3 June ACMD,
Year 2 June ACMD)</v>
      </c>
      <c r="I21" s="45" t="str">
        <f>"=Average (Year 6 July ACMD,
Year 5 July ACMD,
Year 4 July ACMD,
Year 3 July ACMD,
Year 2 July ACMD)"</f>
        <v>=Average (Year 6 July ACMD,
Year 5 July ACMD,
Year 4 July ACMD,
Year 3 July ACMD,
Year 2 July ACMD)</v>
      </c>
      <c r="J21" s="45" t="str">
        <f>"=Average (Year 6 August ACMD,
Year 5 August ACMD,
Year 4 August ACMD,
Year 3 August ACMD,
Year 2 August ACMD)"</f>
        <v>=Average (Year 6 August ACMD,
Year 5 August ACMD,
Year 4 August ACMD,
Year 3 August ACMD,
Year 2 August ACMD)</v>
      </c>
      <c r="K21" s="45" t="str">
        <f>"=Average (Year 6 September ACMD,
Year 5 September ACMD,
Year 4 September ACMD,
Year 3 September ACMD,
Year 2 September ACMD)"</f>
        <v>=Average (Year 6 September ACMD,
Year 5 September ACMD,
Year 4 September ACMD,
Year 3 September ACMD,
Year 2 September ACMD)</v>
      </c>
      <c r="L21" s="45" t="str">
        <f>"=Average (Year 6 October ACMD,
Year 5 October ACMD,
Year 4 October ACMD,
Year 3 October ACMD,
Year 2 October ACMD)"</f>
        <v>=Average (Year 6 October ACMD,
Year 5 October ACMD,
Year 4 October ACMD,
Year 3 October ACMD,
Year 2 October ACMD)</v>
      </c>
      <c r="M21" s="45" t="str">
        <f>"=Average (Year 6 November ACMD,
Year 5 November ACMD,
Year 4 November ACMD,
Year 3 November ACMD,
Year 2 November ACMD)"</f>
        <v>=Average (Year 6 November ACMD,
Year 5 November ACMD,
Year 4 November ACMD,
Year 3 November ACMD,
Year 2 November ACMD)</v>
      </c>
      <c r="N21" s="45" t="str">
        <f>"=Average (Year 6 December ACMD,
Year 5 December ACMD,
Year 4 December ACMD,
Year 3 December ACMD,
Year 2 December ACMD)"</f>
        <v>=Average (Year 6 December ACMD,
Year 5 December ACMD,
Year 4 December ACMD,
Year 3 December ACMD,
Year 2 December ACMD)</v>
      </c>
    </row>
    <row r="22" spans="1:14" ht="90" customHeight="1">
      <c r="A22" s="43"/>
      <c r="B22" s="44" t="s">
        <v>18</v>
      </c>
      <c r="C22" s="45" t="str">
        <f>"=Average (Year 7 January ACMD,
Year 6 January ACMD,
Year 5 January ACMD,
Year 4 January ACMD,
Year 3 January ACMD)"</f>
        <v>=Average (Year 7 January ACMD,
Year 6 January ACMD,
Year 5 January ACMD,
Year 4 January ACMD,
Year 3 January ACMD)</v>
      </c>
      <c r="D22" s="45" t="str">
        <f>"=Average (Year 7 February ACMD,
Year 6 February ACMD,
Year 5 February ACMD,
Year 4 February ACMD,
Year 3 February ACMD)"</f>
        <v>=Average (Year 7 February ACMD,
Year 6 February ACMD,
Year 5 February ACMD,
Year 4 February ACMD,
Year 3 February ACMD)</v>
      </c>
      <c r="E22" s="45" t="str">
        <f>"=Average (Year 7 March ACMD,
Year 6 March ACMD,
Year 5 March ACMD,
Year 4 March ACMD,
Year 3 March ACMD)"</f>
        <v>=Average (Year 7 March ACMD,
Year 6 March ACMD,
Year 5 March ACMD,
Year 4 March ACMD,
Year 3 March ACMD)</v>
      </c>
      <c r="F22" s="45" t="str">
        <f>"=Average (Year 7 April ACMD,
Year 6 April ACMD,
Year 5 April ACMD,
Year 4 April ACMD,
Year 3 April ACMD)"</f>
        <v>=Average (Year 7 April ACMD,
Year 6 April ACMD,
Year 5 April ACMD,
Year 4 April ACMD,
Year 3 April ACMD)</v>
      </c>
      <c r="G22" s="45" t="str">
        <f>"=Average (Year 7 May ACMD,
Year 6 May ACMD,
Year 5 May ACMD,
Year 4 May ACMD,
Year 3 May ACMD)"</f>
        <v>=Average (Year 7 May ACMD,
Year 6 May ACMD,
Year 5 May ACMD,
Year 4 May ACMD,
Year 3 May ACMD)</v>
      </c>
      <c r="H22" s="45" t="str">
        <f>"=Average (Year 7 June ACMD,
Year 6 June ACMD,
Year 5 June ACMD,
Year 4 June ACMD,
Year 3 June ACMD)"</f>
        <v>=Average (Year 7 June ACMD,
Year 6 June ACMD,
Year 5 June ACMD,
Year 4 June ACMD,
Year 3 June ACMD)</v>
      </c>
      <c r="I22" s="45" t="str">
        <f>"=Average (Year 7 July ACMD,
Year 6 July ACMD,
Year 5 July ACMD,
Year 4 July ACMD,
Year 3 July ACMD)"</f>
        <v>=Average (Year 7 July ACMD,
Year 6 July ACMD,
Year 5 July ACMD,
Year 4 July ACMD,
Year 3 July ACMD)</v>
      </c>
      <c r="J22" s="45" t="str">
        <f>"=Average (Year 7 August ACMD,
Year 6 August ACMD,
Year 5 August ACMD,
Year 4 August ACMD,
Year 3 August ACMD)"</f>
        <v>=Average (Year 7 August ACMD,
Year 6 August ACMD,
Year 5 August ACMD,
Year 4 August ACMD,
Year 3 August ACMD)</v>
      </c>
      <c r="K22" s="45" t="str">
        <f>"=Average (Year 7 September ACMD,
Year 6 September ACMD,
Year 5 September ACMD,
Year 4 September ACMD,
Year 3 September ACMD)"</f>
        <v>=Average (Year 7 September ACMD,
Year 6 September ACMD,
Year 5 September ACMD,
Year 4 September ACMD,
Year 3 September ACMD)</v>
      </c>
      <c r="L22" s="45" t="str">
        <f>"=Average (Year 7 October ACMD,
Year 6 October ACMD,
Year 5 October ACMD,
Year 4 October ACMD,
Year 3 October ACMD)"</f>
        <v>=Average (Year 7 October ACMD,
Year 6 October ACMD,
Year 5 October ACMD,
Year 4 October ACMD,
Year 3 October ACMD)</v>
      </c>
      <c r="M22" s="45" t="str">
        <f>"=Average (Year 7 November ACMD,
Year 6 November ACMD,
Year 5 November ACMD,
Year 4 November ACMD,
Year 3 November ACMD)"</f>
        <v>=Average (Year 7 November ACMD,
Year 6 November ACMD,
Year 5 November ACMD,
Year 4 November ACMD,
Year 3 November ACMD)</v>
      </c>
      <c r="N22" s="45" t="str">
        <f>"=Average (Year 7 December ACMD,
Year 6 December ACMD,
Year 5 December ACMD,
Year 4 December ACMD,
Year 3 December ACMD)"</f>
        <v>=Average (Year 7 December ACMD,
Year 6 December ACMD,
Year 5 December ACMD,
Year 4 December ACMD,
Year 3 December ACMD)</v>
      </c>
    </row>
    <row r="23" spans="1:14" ht="90" customHeight="1">
      <c r="A23" s="43"/>
      <c r="B23" s="44" t="s">
        <v>19</v>
      </c>
      <c r="C23" s="45" t="str">
        <f>"=Average (Year 8 January ACMD,
Year 7 January ACMD,
Year 6 January ACMD,
Year 5 January ACMD,
Year 4 January ACMD)"</f>
        <v>=Average (Year 8 January ACMD,
Year 7 January ACMD,
Year 6 January ACMD,
Year 5 January ACMD,
Year 4 January ACMD)</v>
      </c>
      <c r="D23" s="45" t="str">
        <f>"=Average (Year 8 February ACMD,
Year 7 February ACMD,
Year 6 February ACMD,
Year 5 February ACMD,
Year 4 February ACMD)"</f>
        <v>=Average (Year 8 February ACMD,
Year 7 February ACMD,
Year 6 February ACMD,
Year 5 February ACMD,
Year 4 February ACMD)</v>
      </c>
      <c r="E23" s="45" t="str">
        <f>"=Average (Year 8 March ACMD,
Year 7 March ACMD,
Year 6 March ACMD,
Year 5 March ACMD,
Year 4 March ACMD)"</f>
        <v>=Average (Year 8 March ACMD,
Year 7 March ACMD,
Year 6 March ACMD,
Year 5 March ACMD,
Year 4 March ACMD)</v>
      </c>
      <c r="F23" s="45" t="str">
        <f>"=Average (Year 8 April ACMD,
Year 7 April ACMD,
Year 6 April ACMD,
Year 5 April ACMD,
Year 4 April ACMD)"</f>
        <v>=Average (Year 8 April ACMD,
Year 7 April ACMD,
Year 6 April ACMD,
Year 5 April ACMD,
Year 4 April ACMD)</v>
      </c>
      <c r="G23" s="45" t="str">
        <f>"=Average (Year 8 May ACMD,
Year 7 May ACMD,
Year 6 May ACMD,
Year 5 May ACMD,
Year 4 May ACMD)"</f>
        <v>=Average (Year 8 May ACMD,
Year 7 May ACMD,
Year 6 May ACMD,
Year 5 May ACMD,
Year 4 May ACMD)</v>
      </c>
      <c r="H23" s="45" t="str">
        <f>"=Average (Year 8 June ACMD,
Year 7 June ACMD,
Year 6 June ACMD,
Year 5 June ACMD,
Year 4 June ACMD)"</f>
        <v>=Average (Year 8 June ACMD,
Year 7 June ACMD,
Year 6 June ACMD,
Year 5 June ACMD,
Year 4 June ACMD)</v>
      </c>
      <c r="I23" s="45" t="str">
        <f>"=Average (Year 8 July ACMD,
Year 7 July ACMD,
Year 6 July ACMD,
Year 5 July ACMD,
Year 4 July ACMD)"</f>
        <v>=Average (Year 8 July ACMD,
Year 7 July ACMD,
Year 6 July ACMD,
Year 5 July ACMD,
Year 4 July ACMD)</v>
      </c>
      <c r="J23" s="45" t="str">
        <f>"=Average (Year 8 August ACMD,
Year 7 August ACMD,
Year 6 August ACMD,
Year 5 August ACMD,
Year 4 August ACMD)"</f>
        <v>=Average (Year 8 August ACMD,
Year 7 August ACMD,
Year 6 August ACMD,
Year 5 August ACMD,
Year 4 August ACMD)</v>
      </c>
      <c r="K23" s="45" t="str">
        <f>"=Average (Year 8 September ACMD,
Year 7 September ACMD,
Year 6 September ACMD,
Year 5 September ACMD,
Year 4 September ACMD)"</f>
        <v>=Average (Year 8 September ACMD,
Year 7 September ACMD,
Year 6 September ACMD,
Year 5 September ACMD,
Year 4 September ACMD)</v>
      </c>
      <c r="L23" s="45" t="str">
        <f>"=Average (Year 8 October ACMD,
Year 7 October ACMD,
Year 6 October ACMD,
Year 5 October ACMD,
Year 4 October ACMD)"</f>
        <v>=Average (Year 8 October ACMD,
Year 7 October ACMD,
Year 6 October ACMD,
Year 5 October ACMD,
Year 4 October ACMD)</v>
      </c>
      <c r="M23" s="45" t="str">
        <f>"=Average (Year 8 November ACMD,
Year 7 November ACMD,
Year 6 November ACMD,
Year 5 November ACMD,
Year 4 November ACMD)"</f>
        <v>=Average (Year 8 November ACMD,
Year 7 November ACMD,
Year 6 November ACMD,
Year 5 November ACMD,
Year 4 November ACMD)</v>
      </c>
      <c r="N23" s="45" t="str">
        <f>"=Average (Year 8 December ACMD,
Year 7 December ACMD,
Year 6 December ACMD,
Year 5 December ACMD,
Year 4 December ACMD)"</f>
        <v>=Average (Year 8 December ACMD,
Year 7 December ACMD,
Year 6 December ACMD,
Year 5 December ACMD,
Year 4 December ACMD)</v>
      </c>
    </row>
    <row r="24" spans="1:14" ht="90" customHeight="1">
      <c r="A24" s="43"/>
      <c r="B24" s="44" t="s">
        <v>20</v>
      </c>
      <c r="C24" s="45" t="str">
        <f>"=Average (Year 9 January ACMD,
Year 8 January ACMD,
Year 7 January ACMD,
Year 6 January ACMD,
Year 5 January ACMD)"</f>
        <v>=Average (Year 9 January ACMD,
Year 8 January ACMD,
Year 7 January ACMD,
Year 6 January ACMD,
Year 5 January ACMD)</v>
      </c>
      <c r="D24" s="45" t="str">
        <f>"=Average (Year 9 February ACMD,
Year 8 February ACMD,
Year 7 February ACMD,
Year 6 February ACMD,
Year 5 February ACMD)"</f>
        <v>=Average (Year 9 February ACMD,
Year 8 February ACMD,
Year 7 February ACMD,
Year 6 February ACMD,
Year 5 February ACMD)</v>
      </c>
      <c r="E24" s="45" t="str">
        <f>"=Average (Year 9 March ACMD,
Year 8 March ACMD,
Year 7 March ACMD,
Year 6 March ACMD,
Year 5 March ACMD)"</f>
        <v>=Average (Year 9 March ACMD,
Year 8 March ACMD,
Year 7 March ACMD,
Year 6 March ACMD,
Year 5 March ACMD)</v>
      </c>
      <c r="F24" s="45" t="str">
        <f>"=Average (Year 9 April ACMD,
Year 8 April ACMD,
Year 7 April ACMD,
Year 6 April ACMD,
Year 5 April ACMD)"</f>
        <v>=Average (Year 9 April ACMD,
Year 8 April ACMD,
Year 7 April ACMD,
Year 6 April ACMD,
Year 5 April ACMD)</v>
      </c>
      <c r="G24" s="45" t="str">
        <f>"=Average (Year 9 May ACMD,
Year 8 May ACMD,
Year 7 May ACMD,
Year 6 May ACMD,
Year 5 May ACMD)"</f>
        <v>=Average (Year 9 May ACMD,
Year 8 May ACMD,
Year 7 May ACMD,
Year 6 May ACMD,
Year 5 May ACMD)</v>
      </c>
      <c r="H24" s="45" t="str">
        <f>"=Average (Year 9 June ACMD,
Year 8 June ACMD,
Year 7 June ACMD,
Year 6 June ACMD,
Year 5 June ACMD)"</f>
        <v>=Average (Year 9 June ACMD,
Year 8 June ACMD,
Year 7 June ACMD,
Year 6 June ACMD,
Year 5 June ACMD)</v>
      </c>
      <c r="I24" s="45" t="str">
        <f>"=Average (Year 9 July ACMD,
Year 8 July ACMD,
Year 7 July ACMD,
Year 6 July ACMD,
Year 5 July ACMD)"</f>
        <v>=Average (Year 9 July ACMD,
Year 8 July ACMD,
Year 7 July ACMD,
Year 6 July ACMD,
Year 5 July ACMD)</v>
      </c>
      <c r="J24" s="45" t="str">
        <f>"=Average (Year 9 August ACMD,
Year 8 August ACMD,
Year 7 August ACMD,
Year 6 August ACMD,
Year 5 August ACMD)"</f>
        <v>=Average (Year 9 August ACMD,
Year 8 August ACMD,
Year 7 August ACMD,
Year 6 August ACMD,
Year 5 August ACMD)</v>
      </c>
      <c r="K24" s="45" t="str">
        <f>"=Average (Year 9 September ACMD,
Year 8 September ACMD,
Year 7 September ACMD,
Year 6 September ACMD,
Year 5 September ACMD)"</f>
        <v>=Average (Year 9 September ACMD,
Year 8 September ACMD,
Year 7 September ACMD,
Year 6 September ACMD,
Year 5 September ACMD)</v>
      </c>
      <c r="L24" s="45" t="str">
        <f>"=Average (Year 9 October ACMD,
Year 8 October ACMD,
Year 7 October ACMD,
Year 6 October ACMD,
Year 5 October ACMD)"</f>
        <v>=Average (Year 9 October ACMD,
Year 8 October ACMD,
Year 7 October ACMD,
Year 6 October ACMD,
Year 5 October ACMD)</v>
      </c>
      <c r="M24" s="45" t="str">
        <f>"=Average (Year 9 November ACMD,
Year 8 November ACMD,
Year 7 November ACMD,
Year 6 November ACMD,
Year 5 November ACMD)"</f>
        <v>=Average (Year 9 November ACMD,
Year 8 November ACMD,
Year 7 November ACMD,
Year 6 November ACMD,
Year 5 November ACMD)</v>
      </c>
      <c r="N24" s="45" t="str">
        <f>"=Average (Year 9 December ACMD,
Year 8 December ACMD,
Year 7 December ACMD,
Year 6 December ACMD,
Year 5 December ACMD)"</f>
        <v>=Average (Year 9 December ACMD,
Year 8 December ACMD,
Year 7 December ACMD,
Year 6 December ACMD,
Year 5 December ACMD)</v>
      </c>
    </row>
    <row r="25" spans="1:14" ht="90" customHeight="1">
      <c r="A25" s="43"/>
      <c r="B25" s="44" t="s">
        <v>21</v>
      </c>
      <c r="C25" s="45" t="str">
        <f>"=Average (Year 10 January ACMD,
Year 9 January ACMD,
Year 8 January ACMD,
Year 7 January ACMD,
Year 6 January ACMD)"</f>
        <v>=Average (Year 10 January ACMD,
Year 9 January ACMD,
Year 8 January ACMD,
Year 7 January ACMD,
Year 6 January ACMD)</v>
      </c>
      <c r="D25" s="45" t="str">
        <f>"=Average (Year 10 February ACMD,
Year 9 February ACMD,
Year 8 February ACMD,
Year 7 February ACMD,
Year 6 February ACMD)"</f>
        <v>=Average (Year 10 February ACMD,
Year 9 February ACMD,
Year 8 February ACMD,
Year 7 February ACMD,
Year 6 February ACMD)</v>
      </c>
      <c r="E25" s="45" t="str">
        <f>"=Average (Year 10 March ACMD,
Year 9 March ACMD,
Year 8 March ACMD,
Year 7 March ACMD,
Year 6 March ACMD)"</f>
        <v>=Average (Year 10 March ACMD,
Year 9 March ACMD,
Year 8 March ACMD,
Year 7 March ACMD,
Year 6 March ACMD)</v>
      </c>
      <c r="F25" s="45" t="str">
        <f>"=Average (Year 10 April ACMD,
Year 9 April ACMD,
Year 8 April ACMD,
Year 7 April ACMD,
Year 6 April ACMD)"</f>
        <v>=Average (Year 10 April ACMD,
Year 9 April ACMD,
Year 8 April ACMD,
Year 7 April ACMD,
Year 6 April ACMD)</v>
      </c>
      <c r="G25" s="45" t="str">
        <f>"=Average (Year 10 May ACMD,
Year 9 May ACMD,
Year 8 May ACMD,
Year 7 May ACMD,
Year 6 May ACMD)"</f>
        <v>=Average (Year 10 May ACMD,
Year 9 May ACMD,
Year 8 May ACMD,
Year 7 May ACMD,
Year 6 May ACMD)</v>
      </c>
      <c r="H25" s="45" t="str">
        <f>"=Average (Year 10 June ACMD,
Year 9 June ACMD,
Year 8 June ACMD,
Year 7 June ACMD,
Year 6 June ACMD)"</f>
        <v>=Average (Year 10 June ACMD,
Year 9 June ACMD,
Year 8 June ACMD,
Year 7 June ACMD,
Year 6 June ACMD)</v>
      </c>
      <c r="I25" s="45" t="str">
        <f>"=Average (Year 10 July ACMD,
Year 9 July ACMD,
Year 8 July ACMD,
Year 7 July ACMD,
Year 6 July ACMD)"</f>
        <v>=Average (Year 10 July ACMD,
Year 9 July ACMD,
Year 8 July ACMD,
Year 7 July ACMD,
Year 6 July ACMD)</v>
      </c>
      <c r="J25" s="45" t="str">
        <f>"=Average (Year 10 August ACMD,
Year 9 August ACMD,
Year 8 August ACMD,
Year 7 August ACMD,
Year 6 August ACMD)"</f>
        <v>=Average (Year 10 August ACMD,
Year 9 August ACMD,
Year 8 August ACMD,
Year 7 August ACMD,
Year 6 August ACMD)</v>
      </c>
      <c r="K25" s="45" t="str">
        <f>"=Average (Year 10 September ACMD,
Year 9 September ACMD,
Year 8 September ACMD,
Year 7 September ACMD,
Year 6 September ACMD)"</f>
        <v>=Average (Year 10 September ACMD,
Year 9 September ACMD,
Year 8 September ACMD,
Year 7 September ACMD,
Year 6 September ACMD)</v>
      </c>
      <c r="L25" s="45" t="str">
        <f>"=Average (Year 10 October ACMD,
Year 9 October ACMD,
Year 8 October ACMD,
Year 7 October ACMD,
Year 6 October ACMD)"</f>
        <v>=Average (Year 10 October ACMD,
Year 9 October ACMD,
Year 8 October ACMD,
Year 7 October ACMD,
Year 6 October ACMD)</v>
      </c>
      <c r="M25" s="45" t="str">
        <f>"=Average (Year 10 November ACMD,
Year 9 November ACMD,
Year 8 November ACMD,
Year 7 November ACMD,
Year 6 November ACMD)"</f>
        <v>=Average (Year 10 November ACMD,
Year 9 November ACMD,
Year 8 November ACMD,
Year 7 November ACMD,
Year 6 November ACMD)</v>
      </c>
      <c r="N25" s="45" t="str">
        <f>"=Average (Year 10 December ACMD,
Year 9 December ACMD,
Year 8 December ACMD,
Year 7 December ACMD,
Year 6 December ACMD)"</f>
        <v>=Average (Year 10 December ACMD,
Year 9 December ACMD,
Year 8 December ACMD,
Year 7 December ACMD,
Year 6 December ACMD)</v>
      </c>
    </row>
    <row r="26" spans="1:14" ht="90" customHeight="1">
      <c r="A26" s="43"/>
      <c r="B26" s="44" t="s">
        <v>22</v>
      </c>
      <c r="C26" s="45" t="str">
        <f>"=Average (Year 11 January ACMD,
Year 10 January ACMD,
Year 9 January ACMD,
Year 8 January ACMD,
Year 7 January ACMD)"</f>
        <v>=Average (Year 11 January ACMD,
Year 10 January ACMD,
Year 9 January ACMD,
Year 8 January ACMD,
Year 7 January ACMD)</v>
      </c>
      <c r="D26" s="45" t="str">
        <f>"=Average (Year 11 February ACMD,
Year 10 February ACMD,
Year 9 February ACMD,
Year 8 February ACMD,
Year 7 February ACMD)"</f>
        <v>=Average (Year 11 February ACMD,
Year 10 February ACMD,
Year 9 February ACMD,
Year 8 February ACMD,
Year 7 February ACMD)</v>
      </c>
      <c r="E26" s="45" t="str">
        <f>"=Average (Year 11 March ACMD,
Year 10 March ACMD,
Year 9 March ACMD,
Year 8 March ACMD,
Year 7 March ACMD)"</f>
        <v>=Average (Year 11 March ACMD,
Year 10 March ACMD,
Year 9 March ACMD,
Year 8 March ACMD,
Year 7 March ACMD)</v>
      </c>
      <c r="F26" s="45" t="str">
        <f>"=Average (Year 11 April ACMD,
Year 10 April ACMD,
Year 9 April ACMD,
Year 8 April ACMD,
Year 7 April ACMD)"</f>
        <v>=Average (Year 11 April ACMD,
Year 10 April ACMD,
Year 9 April ACMD,
Year 8 April ACMD,
Year 7 April ACMD)</v>
      </c>
      <c r="G26" s="45" t="str">
        <f>"=Average (Year 11 May ACMD,
Year 10 May ACMD,
Year 9 May ACMD,
Year 8 May ACMD,
Year 7 May ACMD)"</f>
        <v>=Average (Year 11 May ACMD,
Year 10 May ACMD,
Year 9 May ACMD,
Year 8 May ACMD,
Year 7 May ACMD)</v>
      </c>
      <c r="H26" s="45" t="str">
        <f>"=Average (Year 11 June ACMD,
Year 10 June ACMD,
Year 9 June ACMD,
Year 8 June ACMD,
Year 7 June ACMD)"</f>
        <v>=Average (Year 11 June ACMD,
Year 10 June ACMD,
Year 9 June ACMD,
Year 8 June ACMD,
Year 7 June ACMD)</v>
      </c>
      <c r="I26" s="45" t="str">
        <f>"=Average (Year 11 July ACMD,
Year 10 July ACMD,
Year 9 July ACMD,
Year 8 July ACMD,
Year 7 July ACMD)"</f>
        <v>=Average (Year 11 July ACMD,
Year 10 July ACMD,
Year 9 July ACMD,
Year 8 July ACMD,
Year 7 July ACMD)</v>
      </c>
      <c r="J26" s="45" t="str">
        <f>"=Average (Year 11 August ACMD,
Year 10 August ACMD,
Year 9 August ACMD,
Year 8 August ACMD,
Year 7 August ACMD)"</f>
        <v>=Average (Year 11 August ACMD,
Year 10 August ACMD,
Year 9 August ACMD,
Year 8 August ACMD,
Year 7 August ACMD)</v>
      </c>
      <c r="K26" s="45" t="str">
        <f>"=Average (Year 11 September ACMD,
Year 10 September ACMD,
Year 9 September ACMD,
Year 8 September ACMD,
Year 7 September ACMD)"</f>
        <v>=Average (Year 11 September ACMD,
Year 10 September ACMD,
Year 9 September ACMD,
Year 8 September ACMD,
Year 7 September ACMD)</v>
      </c>
      <c r="L26" s="45" t="str">
        <f>"=Average (Year 11 October ACMD,
Year 10 October ACMD,
Year 9 October ACMD,
Year 8 October ACMD,
Year 7 October ACMD)"</f>
        <v>=Average (Year 11 October ACMD,
Year 10 October ACMD,
Year 9 October ACMD,
Year 8 October ACMD,
Year 7 October ACMD)</v>
      </c>
      <c r="M26" s="45" t="str">
        <f>"=Average (Year 11 November ACMD,
Year 10 November ACMD,
Year 9 November ACMD,
Year 8 November ACMD,
Year 7 November ACMD)"</f>
        <v>=Average (Year 11 November ACMD,
Year 10 November ACMD,
Year 9 November ACMD,
Year 8 November ACMD,
Year 7 November ACMD)</v>
      </c>
      <c r="N26" s="45" t="str">
        <f>"=Average (Year 11 December ACMD,
Year 10 December ACMD,
Year 9 December ACMD,
Year 8 December ACMD,
Year 7 December ACMD)"</f>
        <v>=Average (Year 11 December ACMD,
Year 10 December ACMD,
Year 9 December ACMD,
Year 8 December ACMD,
Year 7 December ACMD)</v>
      </c>
    </row>
    <row r="27" spans="1:14" ht="90" customHeight="1">
      <c r="A27" s="43"/>
      <c r="B27" s="44" t="s">
        <v>23</v>
      </c>
      <c r="C27" s="45" t="str">
        <f>"=Average (Year 12 January ACMD,
Year 11 January ACMD,
Year 10 January ACMD,
Year 9 January ACMD,
Year 8 January ACMD)"</f>
        <v>=Average (Year 12 January ACMD,
Year 11 January ACMD,
Year 10 January ACMD,
Year 9 January ACMD,
Year 8 January ACMD)</v>
      </c>
      <c r="D27" s="45" t="str">
        <f>"=Average (Year 12 February ACMD,
Year 11 February ACMD,
Year 10 February ACMD,
Year 9 February ACMD,
Year 8 February ACMD)"</f>
        <v>=Average (Year 12 February ACMD,
Year 11 February ACMD,
Year 10 February ACMD,
Year 9 February ACMD,
Year 8 February ACMD)</v>
      </c>
      <c r="E27" s="45" t="str">
        <f>"=Average (Year 12 March ACMD,
Year 11 March ACMD,
Year 10 March ACMD,
Year 9 March ACMD,
Year 8 March ACMD)"</f>
        <v>=Average (Year 12 March ACMD,
Year 11 March ACMD,
Year 10 March ACMD,
Year 9 March ACMD,
Year 8 March ACMD)</v>
      </c>
      <c r="F27" s="45" t="str">
        <f>"=Average (Year 12 April ACMD,
Year 11 April ACMD,
Year 10 April ACMD,
Year 9 April ACMD,
Year 8 April ACMD)"</f>
        <v>=Average (Year 12 April ACMD,
Year 11 April ACMD,
Year 10 April ACMD,
Year 9 April ACMD,
Year 8 April ACMD)</v>
      </c>
      <c r="G27" s="45" t="str">
        <f>"=Average (Year 12 May ACMD,
Year 11 May ACMD,
Year 10 May ACMD,
Year 9 May ACMD,
Year 8 May ACMD)"</f>
        <v>=Average (Year 12 May ACMD,
Year 11 May ACMD,
Year 10 May ACMD,
Year 9 May ACMD,
Year 8 May ACMD)</v>
      </c>
      <c r="H27" s="45" t="str">
        <f>"=Average (Year 12 June ACMD,
Year 11 June ACMD,
Year 10 June ACMD,
Year 9 June ACMD,
Year 8 June ACMD)"</f>
        <v>=Average (Year 12 June ACMD,
Year 11 June ACMD,
Year 10 June ACMD,
Year 9 June ACMD,
Year 8 June ACMD)</v>
      </c>
      <c r="I27" s="45" t="str">
        <f>"=Average (Year 12 July ACMD,
Year 11 July ACMD,
Year 10 July ACMD,
Year 9 July ACMD,
Year 8 July ACMD)"</f>
        <v>=Average (Year 12 July ACMD,
Year 11 July ACMD,
Year 10 July ACMD,
Year 9 July ACMD,
Year 8 July ACMD)</v>
      </c>
      <c r="J27" s="45" t="str">
        <f>"=Average (Year 12 August ACMD,
Year 11 August ACMD,
Year 10 August ACMD,
Year 9 August ACMD,
Year 8 August ACMD)"</f>
        <v>=Average (Year 12 August ACMD,
Year 11 August ACMD,
Year 10 August ACMD,
Year 9 August ACMD,
Year 8 August ACMD)</v>
      </c>
      <c r="K27" s="45" t="str">
        <f>"=Average (Year 12 September ACMD,
Year 11 September ACMD,
Year 10 September ACMD,
Year 9 September ACMD,
Year 8 September ACMD)"</f>
        <v>=Average (Year 12 September ACMD,
Year 11 September ACMD,
Year 10 September ACMD,
Year 9 September ACMD,
Year 8 September ACMD)</v>
      </c>
      <c r="L27" s="45" t="str">
        <f>"=Average (Year 12 October ACMD,
Year 11 October ACMD,
Year 10 October ACMD,
Year 9 October ACMD,
Year 8 October ACMD)"</f>
        <v>=Average (Year 12 October ACMD,
Year 11 October ACMD,
Year 10 October ACMD,
Year 9 October ACMD,
Year 8 October ACMD)</v>
      </c>
      <c r="M27" s="45" t="str">
        <f>"=Average (Year 12 November ACMD,
Year 11 November ACMD,
Year 10 November ACMD,
Year 9 November ACMD,
Year 8 November ACMD)"</f>
        <v>=Average (Year 12 November ACMD,
Year 11 November ACMD,
Year 10 November ACMD,
Year 9 November ACMD,
Year 8 November ACMD)</v>
      </c>
      <c r="N27" s="45" t="str">
        <f>"=Average (Year 12 December ACMD,
Year 11 December ACMD,
Year 10 December ACMD,
Year 9 December ACMD,
Year 8 December ACMD)"</f>
        <v>=Average (Year 12 December ACMD,
Year 11 December ACMD,
Year 10 December ACMD,
Year 9 December ACMD,
Year 8 December ACMD)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BA03-218F-4458-817C-5CE7704448C0}">
  <sheetPr>
    <tabColor theme="4" tint="0.59999389629810485"/>
  </sheetPr>
  <dimension ref="A1:N15"/>
  <sheetViews>
    <sheetView zoomScale="85" zoomScaleNormal="85" workbookViewId="0">
      <selection activeCell="G18" sqref="G18"/>
    </sheetView>
  </sheetViews>
  <sheetFormatPr defaultRowHeight="15"/>
  <cols>
    <col min="1" max="1" width="11.28515625" style="3" customWidth="1"/>
    <col min="2" max="2" width="12.140625" style="3" customWidth="1"/>
    <col min="3" max="14" width="12.7109375" customWidth="1"/>
  </cols>
  <sheetData>
    <row r="1" spans="1:14" s="1" customFormat="1">
      <c r="A1" s="1" t="s">
        <v>24</v>
      </c>
      <c r="C1" s="1" t="s">
        <v>0</v>
      </c>
      <c r="D1" s="1" t="s">
        <v>1</v>
      </c>
      <c r="E1" s="1" t="s">
        <v>2</v>
      </c>
      <c r="F1" s="4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>
      <c r="A2" s="3">
        <v>2023</v>
      </c>
      <c r="B2" s="3" t="s">
        <v>12</v>
      </c>
      <c r="C2">
        <v>10</v>
      </c>
      <c r="D2">
        <v>15</v>
      </c>
      <c r="E2">
        <v>13</v>
      </c>
      <c r="F2" s="5">
        <v>12</v>
      </c>
      <c r="G2">
        <v>9</v>
      </c>
      <c r="H2">
        <v>0</v>
      </c>
      <c r="I2">
        <v>7</v>
      </c>
      <c r="J2">
        <v>15</v>
      </c>
      <c r="K2">
        <v>17</v>
      </c>
      <c r="L2">
        <v>10</v>
      </c>
      <c r="M2">
        <v>9</v>
      </c>
      <c r="N2">
        <v>9</v>
      </c>
    </row>
    <row r="3" spans="1:14">
      <c r="A3" s="3">
        <f>A2+1</f>
        <v>2024</v>
      </c>
      <c r="B3" s="3" t="s">
        <v>13</v>
      </c>
      <c r="C3">
        <v>0</v>
      </c>
      <c r="D3">
        <v>12</v>
      </c>
      <c r="E3">
        <v>10</v>
      </c>
      <c r="F3" s="5">
        <v>10</v>
      </c>
      <c r="G3">
        <v>5</v>
      </c>
      <c r="H3">
        <v>7</v>
      </c>
      <c r="I3">
        <v>0</v>
      </c>
      <c r="J3">
        <v>7</v>
      </c>
      <c r="K3">
        <v>10</v>
      </c>
      <c r="L3">
        <v>12</v>
      </c>
      <c r="M3">
        <v>5</v>
      </c>
      <c r="N3">
        <v>10</v>
      </c>
    </row>
    <row r="4" spans="1:14">
      <c r="A4" s="3">
        <f t="shared" ref="A4:A6" si="0">A3+1</f>
        <v>2025</v>
      </c>
      <c r="B4" s="3" t="s">
        <v>14</v>
      </c>
      <c r="C4">
        <v>7</v>
      </c>
      <c r="D4">
        <v>9</v>
      </c>
      <c r="E4">
        <v>15</v>
      </c>
      <c r="F4" s="5">
        <v>8</v>
      </c>
      <c r="G4">
        <v>12</v>
      </c>
      <c r="H4">
        <v>5</v>
      </c>
      <c r="I4">
        <v>0</v>
      </c>
      <c r="J4">
        <v>14</v>
      </c>
      <c r="K4">
        <v>11</v>
      </c>
      <c r="L4">
        <v>13</v>
      </c>
      <c r="M4">
        <v>7</v>
      </c>
      <c r="N4">
        <v>6</v>
      </c>
    </row>
    <row r="5" spans="1:14">
      <c r="A5" s="3">
        <f t="shared" si="0"/>
        <v>2026</v>
      </c>
      <c r="B5" s="3" t="s">
        <v>15</v>
      </c>
      <c r="C5">
        <v>5</v>
      </c>
      <c r="D5">
        <v>7</v>
      </c>
      <c r="E5">
        <v>14</v>
      </c>
      <c r="F5" s="5">
        <v>6</v>
      </c>
      <c r="G5">
        <v>0</v>
      </c>
      <c r="H5">
        <v>9</v>
      </c>
      <c r="I5">
        <v>5</v>
      </c>
      <c r="J5">
        <v>11</v>
      </c>
      <c r="K5">
        <v>12</v>
      </c>
      <c r="L5">
        <v>15</v>
      </c>
      <c r="M5">
        <v>5</v>
      </c>
      <c r="N5">
        <v>2</v>
      </c>
    </row>
    <row r="6" spans="1:14">
      <c r="A6" s="3">
        <f t="shared" si="0"/>
        <v>2027</v>
      </c>
      <c r="B6" s="3" t="s">
        <v>16</v>
      </c>
      <c r="C6">
        <f ca="1">ROUND(RAND()*C$2,0)</f>
        <v>0</v>
      </c>
      <c r="D6">
        <f t="shared" ref="D6:E6" ca="1" si="1">ROUND(RAND()*D$2,0)</f>
        <v>2</v>
      </c>
      <c r="E6">
        <f t="shared" ca="1" si="1"/>
        <v>6</v>
      </c>
      <c r="F6" s="5">
        <v>10</v>
      </c>
      <c r="G6">
        <f t="shared" ref="G6:N6" ca="1" si="2">ROUND(RAND()*G$2,0)</f>
        <v>8</v>
      </c>
      <c r="H6">
        <f t="shared" ca="1" si="2"/>
        <v>0</v>
      </c>
      <c r="I6">
        <f t="shared" ca="1" si="2"/>
        <v>4</v>
      </c>
      <c r="J6">
        <f t="shared" ca="1" si="2"/>
        <v>15</v>
      </c>
      <c r="K6">
        <f t="shared" ca="1" si="2"/>
        <v>2</v>
      </c>
      <c r="L6">
        <f t="shared" ca="1" si="2"/>
        <v>4</v>
      </c>
      <c r="M6">
        <f t="shared" ca="1" si="2"/>
        <v>5</v>
      </c>
      <c r="N6">
        <f t="shared" ca="1" si="2"/>
        <v>6</v>
      </c>
    </row>
    <row r="7" spans="1:14">
      <c r="A7" s="3">
        <v>2028</v>
      </c>
      <c r="B7" s="3" t="s">
        <v>17</v>
      </c>
      <c r="C7">
        <v>2</v>
      </c>
      <c r="D7">
        <v>7</v>
      </c>
      <c r="E7">
        <v>2</v>
      </c>
      <c r="F7" s="5">
        <v>12</v>
      </c>
      <c r="G7">
        <v>3</v>
      </c>
      <c r="H7">
        <v>0</v>
      </c>
      <c r="I7">
        <v>0</v>
      </c>
      <c r="J7">
        <v>6</v>
      </c>
      <c r="K7">
        <v>1</v>
      </c>
      <c r="L7">
        <v>9</v>
      </c>
      <c r="M7">
        <v>3</v>
      </c>
      <c r="N7">
        <v>3</v>
      </c>
    </row>
    <row r="8" spans="1:14">
      <c r="A8" s="3">
        <v>2029</v>
      </c>
      <c r="B8" s="3" t="s">
        <v>18</v>
      </c>
      <c r="C8">
        <v>6</v>
      </c>
      <c r="D8">
        <v>14</v>
      </c>
      <c r="E8">
        <v>6</v>
      </c>
      <c r="F8" s="5">
        <v>10</v>
      </c>
      <c r="G8">
        <v>5</v>
      </c>
      <c r="H8">
        <v>0</v>
      </c>
      <c r="I8">
        <v>0</v>
      </c>
      <c r="J8">
        <v>3</v>
      </c>
      <c r="K8">
        <v>6</v>
      </c>
      <c r="L8">
        <v>3</v>
      </c>
      <c r="M8">
        <v>2</v>
      </c>
      <c r="N8">
        <v>7</v>
      </c>
    </row>
    <row r="9" spans="1:14">
      <c r="A9" s="3">
        <v>2030</v>
      </c>
      <c r="B9" s="3" t="s">
        <v>19</v>
      </c>
      <c r="C9">
        <v>5</v>
      </c>
      <c r="D9">
        <v>8</v>
      </c>
      <c r="E9">
        <v>3</v>
      </c>
      <c r="F9" s="5">
        <v>8</v>
      </c>
      <c r="G9">
        <v>6</v>
      </c>
      <c r="H9">
        <v>0</v>
      </c>
      <c r="I9">
        <v>5</v>
      </c>
      <c r="J9">
        <v>11</v>
      </c>
      <c r="K9">
        <v>13</v>
      </c>
      <c r="L9">
        <v>1</v>
      </c>
      <c r="M9">
        <v>0</v>
      </c>
      <c r="N9">
        <v>3</v>
      </c>
    </row>
    <row r="10" spans="1:14">
      <c r="A10" s="3">
        <v>2031</v>
      </c>
      <c r="B10" s="3" t="s">
        <v>20</v>
      </c>
      <c r="C10">
        <v>2</v>
      </c>
      <c r="D10">
        <v>6</v>
      </c>
      <c r="E10">
        <v>10</v>
      </c>
      <c r="F10" s="5">
        <v>6</v>
      </c>
      <c r="G10">
        <v>7</v>
      </c>
      <c r="H10">
        <v>0</v>
      </c>
      <c r="I10">
        <v>3</v>
      </c>
      <c r="J10">
        <v>3</v>
      </c>
      <c r="K10">
        <v>3</v>
      </c>
      <c r="L10">
        <v>1</v>
      </c>
      <c r="M10">
        <v>7</v>
      </c>
      <c r="N10">
        <v>8</v>
      </c>
    </row>
    <row r="11" spans="1:14">
      <c r="A11" s="3">
        <v>2032</v>
      </c>
      <c r="B11" s="3" t="s">
        <v>21</v>
      </c>
      <c r="C11">
        <v>4</v>
      </c>
      <c r="D11">
        <v>8</v>
      </c>
      <c r="E11">
        <v>4</v>
      </c>
      <c r="F11" s="5">
        <v>10</v>
      </c>
      <c r="G11">
        <v>2</v>
      </c>
      <c r="H11">
        <v>0</v>
      </c>
      <c r="I11">
        <v>1</v>
      </c>
      <c r="J11">
        <v>7</v>
      </c>
      <c r="K11">
        <v>10</v>
      </c>
      <c r="L11">
        <v>2</v>
      </c>
      <c r="M11">
        <v>5</v>
      </c>
      <c r="N11">
        <v>5</v>
      </c>
    </row>
    <row r="12" spans="1:14">
      <c r="A12" s="3">
        <v>2033</v>
      </c>
      <c r="B12" s="3" t="s">
        <v>22</v>
      </c>
      <c r="C12">
        <v>10</v>
      </c>
      <c r="D12">
        <v>15</v>
      </c>
      <c r="E12">
        <v>13</v>
      </c>
      <c r="F12" s="5">
        <v>12</v>
      </c>
      <c r="G12">
        <v>9</v>
      </c>
      <c r="H12">
        <v>0</v>
      </c>
      <c r="I12">
        <v>7</v>
      </c>
      <c r="J12">
        <v>15</v>
      </c>
      <c r="K12">
        <v>17</v>
      </c>
      <c r="L12">
        <v>10</v>
      </c>
      <c r="M12">
        <v>9</v>
      </c>
      <c r="N12">
        <v>9</v>
      </c>
    </row>
    <row r="13" spans="1:14">
      <c r="A13" s="3">
        <v>2034</v>
      </c>
      <c r="B13" s="3" t="s">
        <v>23</v>
      </c>
      <c r="C13">
        <v>7</v>
      </c>
      <c r="D13">
        <v>13</v>
      </c>
      <c r="E13">
        <v>7</v>
      </c>
      <c r="F13" s="5">
        <v>10</v>
      </c>
      <c r="G13">
        <v>7</v>
      </c>
      <c r="H13">
        <v>0</v>
      </c>
      <c r="I13">
        <v>4</v>
      </c>
      <c r="J13">
        <v>5</v>
      </c>
      <c r="K13">
        <v>6</v>
      </c>
      <c r="L13">
        <v>1</v>
      </c>
      <c r="M13">
        <v>5</v>
      </c>
      <c r="N13">
        <v>6</v>
      </c>
    </row>
    <row r="15" spans="1:14">
      <c r="C15" s="50" t="s">
        <v>57</v>
      </c>
    </row>
  </sheetData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1550-354C-4061-9A5A-17D3B213C78B}">
  <sheetPr>
    <tabColor theme="4" tint="0.59999389629810485"/>
  </sheetPr>
  <dimension ref="A1:O13"/>
  <sheetViews>
    <sheetView zoomScale="85" zoomScaleNormal="85" workbookViewId="0">
      <selection activeCell="L31" sqref="L31"/>
    </sheetView>
  </sheetViews>
  <sheetFormatPr defaultRowHeight="15"/>
  <cols>
    <col min="1" max="1" width="11.28515625" customWidth="1"/>
    <col min="2" max="2" width="12.140625" style="3" customWidth="1"/>
    <col min="3" max="3" width="16.28515625" customWidth="1"/>
    <col min="4" max="14" width="12.7109375" customWidth="1"/>
    <col min="15" max="15" width="17.5703125" customWidth="1"/>
  </cols>
  <sheetData>
    <row r="1" spans="1:15" s="1" customFormat="1" ht="31.5" customHeight="1">
      <c r="A1" s="1" t="s">
        <v>24</v>
      </c>
      <c r="C1" s="1" t="s">
        <v>0</v>
      </c>
      <c r="D1" s="1" t="s">
        <v>1</v>
      </c>
      <c r="E1" s="1" t="s">
        <v>2</v>
      </c>
      <c r="F1" s="4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8" t="s">
        <v>27</v>
      </c>
    </row>
    <row r="2" spans="1:15">
      <c r="A2">
        <v>2023</v>
      </c>
      <c r="B2" s="3" t="s">
        <v>12</v>
      </c>
      <c r="C2" s="2">
        <f>AVERAGE('Actual Load at time of CP-ACMD'!C$2:C2)</f>
        <v>10</v>
      </c>
      <c r="D2" s="2">
        <f>AVERAGE('Actual Load at time of CP-ACMD'!D$2:D2)</f>
        <v>15</v>
      </c>
      <c r="E2" s="2">
        <f>AVERAGE('Actual Load at time of CP-ACMD'!E$2:E2)</f>
        <v>13</v>
      </c>
      <c r="F2" s="6">
        <f>AVERAGE('Actual Load at time of CP-ACMD'!F$2:F2)</f>
        <v>12</v>
      </c>
      <c r="G2" s="2">
        <f>AVERAGE('Actual Load at time of CP-ACMD'!G$2:G2)</f>
        <v>9</v>
      </c>
      <c r="H2" s="2">
        <f>AVERAGE('Actual Load at time of CP-ACMD'!H$2:H2)</f>
        <v>0</v>
      </c>
      <c r="I2" s="2">
        <f>AVERAGE('Actual Load at time of CP-ACMD'!I$2:I2)</f>
        <v>7</v>
      </c>
      <c r="J2" s="2">
        <f>AVERAGE('Actual Load at time of CP-ACMD'!J$2:J2)</f>
        <v>15</v>
      </c>
      <c r="K2" s="2">
        <f>AVERAGE('Actual Load at time of CP-ACMD'!K$2:K2)</f>
        <v>17</v>
      </c>
      <c r="L2" s="2">
        <f>AVERAGE('Actual Load at time of CP-ACMD'!L$2:L2)</f>
        <v>10</v>
      </c>
      <c r="M2" s="2">
        <f>AVERAGE('Actual Load at time of CP-ACMD'!M$2:M2)</f>
        <v>9</v>
      </c>
      <c r="N2" s="2">
        <f>AVERAGE('Actual Load at time of CP-ACMD'!N$2:N2)</f>
        <v>9</v>
      </c>
      <c r="O2" s="9">
        <f t="shared" ref="O2:O13" si="0">SUM(C2:N2)</f>
        <v>126</v>
      </c>
    </row>
    <row r="3" spans="1:15">
      <c r="A3">
        <f>A2+1</f>
        <v>2024</v>
      </c>
      <c r="B3" s="3" t="s">
        <v>13</v>
      </c>
      <c r="C3" s="2">
        <f>AVERAGE('Actual Load at time of CP-ACMD'!C$2:C3)</f>
        <v>5</v>
      </c>
      <c r="D3" s="2">
        <f>AVERAGE('Actual Load at time of CP-ACMD'!D$2:D3)</f>
        <v>13.5</v>
      </c>
      <c r="E3" s="2">
        <f>AVERAGE('Actual Load at time of CP-ACMD'!E$2:E3)</f>
        <v>11.5</v>
      </c>
      <c r="F3" s="6">
        <f>AVERAGE('Actual Load at time of CP-ACMD'!F$2:F3)</f>
        <v>11</v>
      </c>
      <c r="G3" s="2">
        <f>AVERAGE('Actual Load at time of CP-ACMD'!G$2:G3)</f>
        <v>7</v>
      </c>
      <c r="H3" s="2">
        <f>AVERAGE('Actual Load at time of CP-ACMD'!H$2:H3)</f>
        <v>3.5</v>
      </c>
      <c r="I3" s="2">
        <f>AVERAGE('Actual Load at time of CP-ACMD'!I$2:I3)</f>
        <v>3.5</v>
      </c>
      <c r="J3" s="2">
        <f>AVERAGE('Actual Load at time of CP-ACMD'!J$2:J3)</f>
        <v>11</v>
      </c>
      <c r="K3" s="2">
        <f>AVERAGE('Actual Load at time of CP-ACMD'!K$2:K3)</f>
        <v>13.5</v>
      </c>
      <c r="L3" s="2">
        <f>AVERAGE('Actual Load at time of CP-ACMD'!L$2:L3)</f>
        <v>11</v>
      </c>
      <c r="M3" s="2">
        <f>AVERAGE('Actual Load at time of CP-ACMD'!M$2:M3)</f>
        <v>7</v>
      </c>
      <c r="N3" s="2">
        <f>AVERAGE('Actual Load at time of CP-ACMD'!N$2:N3)</f>
        <v>9.5</v>
      </c>
      <c r="O3" s="9">
        <f t="shared" si="0"/>
        <v>107</v>
      </c>
    </row>
    <row r="4" spans="1:15">
      <c r="A4">
        <f t="shared" ref="A4:A6" si="1">A3+1</f>
        <v>2025</v>
      </c>
      <c r="B4" s="3" t="s">
        <v>14</v>
      </c>
      <c r="C4" s="2">
        <f>AVERAGE('Actual Load at time of CP-ACMD'!C$2:C4)</f>
        <v>5.666666666666667</v>
      </c>
      <c r="D4" s="2">
        <f>AVERAGE('Actual Load at time of CP-ACMD'!D$2:D4)</f>
        <v>12</v>
      </c>
      <c r="E4" s="2">
        <f>AVERAGE('Actual Load at time of CP-ACMD'!E$2:E4)</f>
        <v>12.666666666666666</v>
      </c>
      <c r="F4" s="6">
        <f>AVERAGE('Actual Load at time of CP-ACMD'!F$2:F4)</f>
        <v>10</v>
      </c>
      <c r="G4" s="2">
        <f>AVERAGE('Actual Load at time of CP-ACMD'!G$2:G4)</f>
        <v>8.6666666666666661</v>
      </c>
      <c r="H4" s="2">
        <f>AVERAGE('Actual Load at time of CP-ACMD'!H$2:H4)</f>
        <v>4</v>
      </c>
      <c r="I4" s="2">
        <f>AVERAGE('Actual Load at time of CP-ACMD'!I$2:I4)</f>
        <v>2.3333333333333335</v>
      </c>
      <c r="J4" s="2">
        <f>AVERAGE('Actual Load at time of CP-ACMD'!J$2:J4)</f>
        <v>12</v>
      </c>
      <c r="K4" s="2">
        <f>AVERAGE('Actual Load at time of CP-ACMD'!K$2:K4)</f>
        <v>12.666666666666666</v>
      </c>
      <c r="L4" s="2">
        <f>AVERAGE('Actual Load at time of CP-ACMD'!L$2:L4)</f>
        <v>11.666666666666666</v>
      </c>
      <c r="M4" s="2">
        <f>AVERAGE('Actual Load at time of CP-ACMD'!M$2:M4)</f>
        <v>7</v>
      </c>
      <c r="N4" s="2">
        <f>AVERAGE('Actual Load at time of CP-ACMD'!N$2:N4)</f>
        <v>8.3333333333333339</v>
      </c>
      <c r="O4" s="9">
        <f t="shared" si="0"/>
        <v>107.00000000000001</v>
      </c>
    </row>
    <row r="5" spans="1:15">
      <c r="A5">
        <f t="shared" si="1"/>
        <v>2026</v>
      </c>
      <c r="B5" s="3" t="s">
        <v>15</v>
      </c>
      <c r="C5" s="2">
        <f>AVERAGE('Actual Load at time of CP-ACMD'!C$2:C5)</f>
        <v>5.5</v>
      </c>
      <c r="D5" s="2">
        <f>AVERAGE('Actual Load at time of CP-ACMD'!D$2:D5)</f>
        <v>10.75</v>
      </c>
      <c r="E5" s="2">
        <f>AVERAGE('Actual Load at time of CP-ACMD'!E$2:E5)</f>
        <v>13</v>
      </c>
      <c r="F5" s="6">
        <f>AVERAGE('Actual Load at time of CP-ACMD'!F$2:F5)</f>
        <v>9</v>
      </c>
      <c r="G5" s="2">
        <f>AVERAGE('Actual Load at time of CP-ACMD'!G$2:G5)</f>
        <v>6.5</v>
      </c>
      <c r="H5" s="2">
        <f>AVERAGE('Actual Load at time of CP-ACMD'!H$2:H5)</f>
        <v>5.25</v>
      </c>
      <c r="I5" s="2">
        <f>AVERAGE('Actual Load at time of CP-ACMD'!I$2:I5)</f>
        <v>3</v>
      </c>
      <c r="J5" s="2">
        <f>AVERAGE('Actual Load at time of CP-ACMD'!J$2:J5)</f>
        <v>11.75</v>
      </c>
      <c r="K5" s="2">
        <f>AVERAGE('Actual Load at time of CP-ACMD'!K$2:K5)</f>
        <v>12.5</v>
      </c>
      <c r="L5" s="2">
        <f>AVERAGE('Actual Load at time of CP-ACMD'!L$2:L5)</f>
        <v>12.5</v>
      </c>
      <c r="M5" s="2">
        <f>AVERAGE('Actual Load at time of CP-ACMD'!M$2:M5)</f>
        <v>6.5</v>
      </c>
      <c r="N5" s="2">
        <f>AVERAGE('Actual Load at time of CP-ACMD'!N$2:N5)</f>
        <v>6.75</v>
      </c>
      <c r="O5" s="9">
        <f t="shared" si="0"/>
        <v>103</v>
      </c>
    </row>
    <row r="6" spans="1:15">
      <c r="A6">
        <f t="shared" si="1"/>
        <v>2027</v>
      </c>
      <c r="B6" s="3" t="s">
        <v>16</v>
      </c>
      <c r="C6" s="2">
        <f ca="1">AVERAGE('Actual Load at time of CP-ACMD'!C2:C6)</f>
        <v>4.4000000000000004</v>
      </c>
      <c r="D6" s="2">
        <f ca="1">AVERAGE('Actual Load at time of CP-ACMD'!D2:D6)</f>
        <v>9</v>
      </c>
      <c r="E6" s="2">
        <f ca="1">AVERAGE('Actual Load at time of CP-ACMD'!E2:E6)</f>
        <v>11.6</v>
      </c>
      <c r="F6" s="6">
        <f>AVERAGE('Actual Load at time of CP-ACMD'!F2:F6)</f>
        <v>9.1999999999999993</v>
      </c>
      <c r="G6" s="2">
        <f ca="1">AVERAGE('Actual Load at time of CP-ACMD'!G2:G6)</f>
        <v>6.8</v>
      </c>
      <c r="H6" s="2">
        <f ca="1">AVERAGE('Actual Load at time of CP-ACMD'!H2:H6)</f>
        <v>4.2</v>
      </c>
      <c r="I6" s="2">
        <f ca="1">AVERAGE('Actual Load at time of CP-ACMD'!I2:I6)</f>
        <v>3.2</v>
      </c>
      <c r="J6" s="2">
        <f ca="1">AVERAGE('Actual Load at time of CP-ACMD'!J2:J6)</f>
        <v>12.4</v>
      </c>
      <c r="K6" s="2">
        <f ca="1">AVERAGE('Actual Load at time of CP-ACMD'!K2:K6)</f>
        <v>10.4</v>
      </c>
      <c r="L6" s="2">
        <f ca="1">AVERAGE('Actual Load at time of CP-ACMD'!L2:L6)</f>
        <v>10.8</v>
      </c>
      <c r="M6" s="2">
        <f ca="1">AVERAGE('Actual Load at time of CP-ACMD'!M2:M6)</f>
        <v>6.2</v>
      </c>
      <c r="N6" s="2">
        <f ca="1">AVERAGE('Actual Load at time of CP-ACMD'!N2:N6)</f>
        <v>6.6</v>
      </c>
      <c r="O6" s="9">
        <f t="shared" ca="1" si="0"/>
        <v>94.8</v>
      </c>
    </row>
    <row r="7" spans="1:15">
      <c r="A7">
        <v>2028</v>
      </c>
      <c r="B7" s="3" t="s">
        <v>17</v>
      </c>
      <c r="C7">
        <f ca="1">AVERAGE('Actual Load at time of CP-ACMD'!C3:C7)</f>
        <v>2.8</v>
      </c>
      <c r="D7">
        <f ca="1">AVERAGE('Actual Load at time of CP-ACMD'!D3:D7)</f>
        <v>7.4</v>
      </c>
      <c r="E7">
        <f ca="1">AVERAGE('Actual Load at time of CP-ACMD'!E3:E7)</f>
        <v>9.4</v>
      </c>
      <c r="F7" s="5">
        <f>AVERAGE('Actual Load at time of CP-ACMD'!F3:F7)</f>
        <v>9.1999999999999993</v>
      </c>
      <c r="G7">
        <f ca="1">AVERAGE('Actual Load at time of CP-ACMD'!G3:G7)</f>
        <v>5.6</v>
      </c>
      <c r="H7">
        <f ca="1">AVERAGE('Actual Load at time of CP-ACMD'!H3:H7)</f>
        <v>4.2</v>
      </c>
      <c r="I7">
        <f ca="1">AVERAGE('Actual Load at time of CP-ACMD'!I3:I7)</f>
        <v>1.8</v>
      </c>
      <c r="J7">
        <f ca="1">AVERAGE('Actual Load at time of CP-ACMD'!J3:J7)</f>
        <v>10.6</v>
      </c>
      <c r="K7">
        <f ca="1">AVERAGE('Actual Load at time of CP-ACMD'!K3:K7)</f>
        <v>7.2</v>
      </c>
      <c r="L7">
        <f ca="1">AVERAGE('Actual Load at time of CP-ACMD'!L3:L7)</f>
        <v>10.6</v>
      </c>
      <c r="M7">
        <f ca="1">AVERAGE('Actual Load at time of CP-ACMD'!M3:M7)</f>
        <v>5</v>
      </c>
      <c r="N7">
        <f ca="1">AVERAGE('Actual Load at time of CP-ACMD'!N3:N7)</f>
        <v>5.4</v>
      </c>
      <c r="O7" s="9">
        <f t="shared" ca="1" si="0"/>
        <v>79.2</v>
      </c>
    </row>
    <row r="8" spans="1:15">
      <c r="A8">
        <v>2029</v>
      </c>
      <c r="B8" s="3" t="s">
        <v>18</v>
      </c>
      <c r="C8">
        <f ca="1">AVERAGE('Actual Load at time of CP-ACMD'!C4:C8)</f>
        <v>4</v>
      </c>
      <c r="D8">
        <f ca="1">AVERAGE('Actual Load at time of CP-ACMD'!D4:D8)</f>
        <v>7.8</v>
      </c>
      <c r="E8">
        <f ca="1">AVERAGE('Actual Load at time of CP-ACMD'!E4:E8)</f>
        <v>8.6</v>
      </c>
      <c r="F8" s="5">
        <f>AVERAGE('Actual Load at time of CP-ACMD'!F4:F8)</f>
        <v>9.1999999999999993</v>
      </c>
      <c r="G8">
        <f ca="1">AVERAGE('Actual Load at time of CP-ACMD'!G4:G8)</f>
        <v>5.6</v>
      </c>
      <c r="H8">
        <f ca="1">AVERAGE('Actual Load at time of CP-ACMD'!H4:H8)</f>
        <v>2.8</v>
      </c>
      <c r="I8">
        <f ca="1">AVERAGE('Actual Load at time of CP-ACMD'!I4:I8)</f>
        <v>1.8</v>
      </c>
      <c r="J8">
        <f ca="1">AVERAGE('Actual Load at time of CP-ACMD'!J4:J8)</f>
        <v>9.8000000000000007</v>
      </c>
      <c r="K8">
        <f ca="1">AVERAGE('Actual Load at time of CP-ACMD'!K4:K8)</f>
        <v>6.4</v>
      </c>
      <c r="L8">
        <f ca="1">AVERAGE('Actual Load at time of CP-ACMD'!L4:L8)</f>
        <v>8.8000000000000007</v>
      </c>
      <c r="M8">
        <f ca="1">AVERAGE('Actual Load at time of CP-ACMD'!M4:M8)</f>
        <v>4.4000000000000004</v>
      </c>
      <c r="N8">
        <f ca="1">AVERAGE('Actual Load at time of CP-ACMD'!N4:N8)</f>
        <v>4.8</v>
      </c>
      <c r="O8" s="9">
        <f t="shared" ca="1" si="0"/>
        <v>74</v>
      </c>
    </row>
    <row r="9" spans="1:15">
      <c r="A9">
        <v>2030</v>
      </c>
      <c r="B9" s="3" t="s">
        <v>19</v>
      </c>
      <c r="C9">
        <f ca="1">AVERAGE('Actual Load at time of CP-ACMD'!C5:C9)</f>
        <v>3.6</v>
      </c>
      <c r="D9">
        <f ca="1">AVERAGE('Actual Load at time of CP-ACMD'!D5:D9)</f>
        <v>7.6</v>
      </c>
      <c r="E9">
        <f ca="1">AVERAGE('Actual Load at time of CP-ACMD'!E5:E9)</f>
        <v>6.2</v>
      </c>
      <c r="F9" s="5">
        <f>AVERAGE('Actual Load at time of CP-ACMD'!F5:F9)</f>
        <v>9.1999999999999993</v>
      </c>
      <c r="G9">
        <f ca="1">AVERAGE('Actual Load at time of CP-ACMD'!G5:G9)</f>
        <v>4.4000000000000004</v>
      </c>
      <c r="H9">
        <f ca="1">AVERAGE('Actual Load at time of CP-ACMD'!H5:H9)</f>
        <v>1.8</v>
      </c>
      <c r="I9">
        <f ca="1">AVERAGE('Actual Load at time of CP-ACMD'!I5:I9)</f>
        <v>2.8</v>
      </c>
      <c r="J9">
        <f ca="1">AVERAGE('Actual Load at time of CP-ACMD'!J5:J9)</f>
        <v>9.1999999999999993</v>
      </c>
      <c r="K9">
        <f ca="1">AVERAGE('Actual Load at time of CP-ACMD'!K5:K9)</f>
        <v>6.8</v>
      </c>
      <c r="L9">
        <f ca="1">AVERAGE('Actual Load at time of CP-ACMD'!L5:L9)</f>
        <v>6.4</v>
      </c>
      <c r="M9">
        <f ca="1">AVERAGE('Actual Load at time of CP-ACMD'!M5:M9)</f>
        <v>3</v>
      </c>
      <c r="N9">
        <f ca="1">AVERAGE('Actual Load at time of CP-ACMD'!N5:N9)</f>
        <v>4.2</v>
      </c>
      <c r="O9" s="9">
        <f t="shared" ca="1" si="0"/>
        <v>65.199999999999989</v>
      </c>
    </row>
    <row r="10" spans="1:15">
      <c r="A10">
        <v>2031</v>
      </c>
      <c r="B10" s="3" t="s">
        <v>20</v>
      </c>
      <c r="C10">
        <f ca="1">AVERAGE('Actual Load at time of CP-ACMD'!C6:C10)</f>
        <v>3</v>
      </c>
      <c r="D10">
        <f ca="1">AVERAGE('Actual Load at time of CP-ACMD'!D6:D10)</f>
        <v>7.4</v>
      </c>
      <c r="E10">
        <f ca="1">AVERAGE('Actual Load at time of CP-ACMD'!E6:E10)</f>
        <v>5.4</v>
      </c>
      <c r="F10" s="5">
        <f>AVERAGE('Actual Load at time of CP-ACMD'!F6:F10)</f>
        <v>9.1999999999999993</v>
      </c>
      <c r="G10">
        <f ca="1">AVERAGE('Actual Load at time of CP-ACMD'!G6:G10)</f>
        <v>5.8</v>
      </c>
      <c r="H10">
        <f ca="1">AVERAGE('Actual Load at time of CP-ACMD'!H6:H10)</f>
        <v>0</v>
      </c>
      <c r="I10">
        <f ca="1">AVERAGE('Actual Load at time of CP-ACMD'!I6:I10)</f>
        <v>2.4</v>
      </c>
      <c r="J10">
        <f ca="1">AVERAGE('Actual Load at time of CP-ACMD'!J6:J10)</f>
        <v>7.6</v>
      </c>
      <c r="K10">
        <f ca="1">AVERAGE('Actual Load at time of CP-ACMD'!K6:K10)</f>
        <v>5</v>
      </c>
      <c r="L10">
        <f ca="1">AVERAGE('Actual Load at time of CP-ACMD'!L6:L10)</f>
        <v>3.6</v>
      </c>
      <c r="M10">
        <f ca="1">AVERAGE('Actual Load at time of CP-ACMD'!M6:M10)</f>
        <v>3.4</v>
      </c>
      <c r="N10">
        <f ca="1">AVERAGE('Actual Load at time of CP-ACMD'!N6:N10)</f>
        <v>5.4</v>
      </c>
      <c r="O10" s="9">
        <f t="shared" ca="1" si="0"/>
        <v>58.2</v>
      </c>
    </row>
    <row r="11" spans="1:15">
      <c r="A11">
        <v>2032</v>
      </c>
      <c r="B11" s="3" t="s">
        <v>21</v>
      </c>
      <c r="C11">
        <f>AVERAGE('Actual Load at time of CP-ACMD'!C7:C11)</f>
        <v>3.8</v>
      </c>
      <c r="D11">
        <f>AVERAGE('Actual Load at time of CP-ACMD'!D7:D11)</f>
        <v>8.6</v>
      </c>
      <c r="E11">
        <f>AVERAGE('Actual Load at time of CP-ACMD'!E7:E11)</f>
        <v>5</v>
      </c>
      <c r="F11" s="5">
        <f>AVERAGE('Actual Load at time of CP-ACMD'!F7:F11)</f>
        <v>9.1999999999999993</v>
      </c>
      <c r="G11">
        <f>AVERAGE('Actual Load at time of CP-ACMD'!G7:G11)</f>
        <v>4.5999999999999996</v>
      </c>
      <c r="H11">
        <f>AVERAGE('Actual Load at time of CP-ACMD'!H7:H11)</f>
        <v>0</v>
      </c>
      <c r="I11">
        <f>AVERAGE('Actual Load at time of CP-ACMD'!I7:I11)</f>
        <v>1.8</v>
      </c>
      <c r="J11">
        <f>AVERAGE('Actual Load at time of CP-ACMD'!J7:J11)</f>
        <v>6</v>
      </c>
      <c r="K11">
        <f>AVERAGE('Actual Load at time of CP-ACMD'!K7:K11)</f>
        <v>6.6</v>
      </c>
      <c r="L11">
        <f>AVERAGE('Actual Load at time of CP-ACMD'!L7:L11)</f>
        <v>3.2</v>
      </c>
      <c r="M11">
        <f>AVERAGE('Actual Load at time of CP-ACMD'!M7:M11)</f>
        <v>3.4</v>
      </c>
      <c r="N11">
        <f>AVERAGE('Actual Load at time of CP-ACMD'!N7:N11)</f>
        <v>5.2</v>
      </c>
      <c r="O11" s="9">
        <f t="shared" si="0"/>
        <v>57.4</v>
      </c>
    </row>
    <row r="12" spans="1:15">
      <c r="A12">
        <v>2033</v>
      </c>
      <c r="B12" s="3" t="s">
        <v>22</v>
      </c>
      <c r="C12">
        <f>AVERAGE('Actual Load at time of CP-ACMD'!C8:C12)</f>
        <v>5.4</v>
      </c>
      <c r="D12">
        <f>AVERAGE('Actual Load at time of CP-ACMD'!D8:D12)</f>
        <v>10.199999999999999</v>
      </c>
      <c r="E12">
        <f>AVERAGE('Actual Load at time of CP-ACMD'!E8:E12)</f>
        <v>7.2</v>
      </c>
      <c r="F12" s="5">
        <f>AVERAGE('Actual Load at time of CP-ACMD'!F8:F12)</f>
        <v>9.1999999999999993</v>
      </c>
      <c r="G12">
        <f>AVERAGE('Actual Load at time of CP-ACMD'!G8:G12)</f>
        <v>5.8</v>
      </c>
      <c r="H12">
        <f>AVERAGE('Actual Load at time of CP-ACMD'!H8:H12)</f>
        <v>0</v>
      </c>
      <c r="I12">
        <f>AVERAGE('Actual Load at time of CP-ACMD'!I8:I12)</f>
        <v>3.2</v>
      </c>
      <c r="J12">
        <f>AVERAGE('Actual Load at time of CP-ACMD'!J8:J12)</f>
        <v>7.8</v>
      </c>
      <c r="K12">
        <f>AVERAGE('Actual Load at time of CP-ACMD'!K8:K12)</f>
        <v>9.8000000000000007</v>
      </c>
      <c r="L12">
        <f>AVERAGE('Actual Load at time of CP-ACMD'!L8:L12)</f>
        <v>3.4</v>
      </c>
      <c r="M12">
        <f>AVERAGE('Actual Load at time of CP-ACMD'!M8:M12)</f>
        <v>4.5999999999999996</v>
      </c>
      <c r="N12">
        <f>AVERAGE('Actual Load at time of CP-ACMD'!N8:N12)</f>
        <v>6.4</v>
      </c>
      <c r="O12" s="9">
        <f t="shared" si="0"/>
        <v>73</v>
      </c>
    </row>
    <row r="13" spans="1:15">
      <c r="A13">
        <v>2034</v>
      </c>
      <c r="B13" s="3" t="s">
        <v>23</v>
      </c>
      <c r="C13">
        <f>AVERAGE('Actual Load at time of CP-ACMD'!C9:C13)</f>
        <v>5.6</v>
      </c>
      <c r="D13">
        <f>AVERAGE('Actual Load at time of CP-ACMD'!D9:D13)</f>
        <v>10</v>
      </c>
      <c r="E13">
        <f>AVERAGE('Actual Load at time of CP-ACMD'!E9:E13)</f>
        <v>7.4</v>
      </c>
      <c r="F13" s="5">
        <f>AVERAGE('Actual Load at time of CP-ACMD'!F9:F13)</f>
        <v>9.1999999999999993</v>
      </c>
      <c r="G13">
        <f>AVERAGE('Actual Load at time of CP-ACMD'!G9:G13)</f>
        <v>6.2</v>
      </c>
      <c r="H13">
        <f>AVERAGE('Actual Load at time of CP-ACMD'!H9:H13)</f>
        <v>0</v>
      </c>
      <c r="I13">
        <f>AVERAGE('Actual Load at time of CP-ACMD'!I9:I13)</f>
        <v>4</v>
      </c>
      <c r="J13">
        <f>AVERAGE('Actual Load at time of CP-ACMD'!J9:J13)</f>
        <v>8.1999999999999993</v>
      </c>
      <c r="K13">
        <f>AVERAGE('Actual Load at time of CP-ACMD'!K9:K13)</f>
        <v>9.8000000000000007</v>
      </c>
      <c r="L13">
        <f>AVERAGE('Actual Load at time of CP-ACMD'!L9:L13)</f>
        <v>3</v>
      </c>
      <c r="M13">
        <f>AVERAGE('Actual Load at time of CP-ACMD'!M9:M13)</f>
        <v>5.2</v>
      </c>
      <c r="N13">
        <f>AVERAGE('Actual Load at time of CP-ACMD'!N9:N13)</f>
        <v>6.2</v>
      </c>
      <c r="O13" s="9">
        <f t="shared" si="0"/>
        <v>74.800000000000011</v>
      </c>
    </row>
  </sheetData>
  <pageMargins left="0.7" right="0.7" top="0.75" bottom="0.75" header="0.3" footer="0.3"/>
  <pageSetup orientation="portrait" r:id="rId1"/>
  <ignoredErrors>
    <ignoredError sqref="C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CAA2-B393-4681-82D9-5D7C0C46CE0F}">
  <sheetPr>
    <tabColor theme="4" tint="0.79998168889431442"/>
  </sheetPr>
  <dimension ref="A1:N13"/>
  <sheetViews>
    <sheetView zoomScale="85" zoomScaleNormal="85" workbookViewId="0"/>
  </sheetViews>
  <sheetFormatPr defaultRowHeight="15"/>
  <cols>
    <col min="1" max="1" width="11.28515625" customWidth="1"/>
    <col min="2" max="2" width="12.140625" style="3" customWidth="1"/>
    <col min="3" max="14" width="12.7109375" customWidth="1"/>
  </cols>
  <sheetData>
    <row r="1" spans="1:14" s="1" customFormat="1">
      <c r="A1" s="1" t="s">
        <v>24</v>
      </c>
      <c r="C1" s="1" t="s">
        <v>0</v>
      </c>
      <c r="D1" s="1" t="s">
        <v>1</v>
      </c>
      <c r="E1" s="1" t="s">
        <v>2</v>
      </c>
      <c r="F1" s="4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>
      <c r="A2">
        <v>2023</v>
      </c>
      <c r="B2" s="3" t="s">
        <v>12</v>
      </c>
      <c r="C2" s="2">
        <f>'Rolling 5yr Average-TCMD'!C2-'Actual Load at time of CP-ACMD'!C2</f>
        <v>0</v>
      </c>
      <c r="D2" s="2">
        <f>'Rolling 5yr Average-TCMD'!D2-'Actual Load at time of CP-ACMD'!D2</f>
        <v>0</v>
      </c>
      <c r="E2" s="2">
        <f>'Rolling 5yr Average-TCMD'!E2-'Actual Load at time of CP-ACMD'!E2</f>
        <v>0</v>
      </c>
      <c r="F2" s="6">
        <f>'Rolling 5yr Average-TCMD'!F2-'Actual Load at time of CP-ACMD'!F2</f>
        <v>0</v>
      </c>
      <c r="G2" s="2">
        <f>'Rolling 5yr Average-TCMD'!G2-'Actual Load at time of CP-ACMD'!G2</f>
        <v>0</v>
      </c>
      <c r="H2" s="2">
        <f>'Rolling 5yr Average-TCMD'!H2-'Actual Load at time of CP-ACMD'!H2</f>
        <v>0</v>
      </c>
      <c r="I2" s="2">
        <f>'Rolling 5yr Average-TCMD'!I2-'Actual Load at time of CP-ACMD'!I2</f>
        <v>0</v>
      </c>
      <c r="J2" s="2">
        <f>'Rolling 5yr Average-TCMD'!J2-'Actual Load at time of CP-ACMD'!J2</f>
        <v>0</v>
      </c>
      <c r="K2" s="2">
        <f>'Rolling 5yr Average-TCMD'!K2-'Actual Load at time of CP-ACMD'!K2</f>
        <v>0</v>
      </c>
      <c r="L2" s="2">
        <f>'Rolling 5yr Average-TCMD'!L2-'Actual Load at time of CP-ACMD'!L2</f>
        <v>0</v>
      </c>
      <c r="M2" s="2">
        <f>'Rolling 5yr Average-TCMD'!M2-'Actual Load at time of CP-ACMD'!M2</f>
        <v>0</v>
      </c>
      <c r="N2" s="2">
        <f>'Rolling 5yr Average-TCMD'!N2-'Actual Load at time of CP-ACMD'!N2</f>
        <v>0</v>
      </c>
    </row>
    <row r="3" spans="1:14">
      <c r="A3">
        <f>A2+1</f>
        <v>2024</v>
      </c>
      <c r="B3" s="3" t="s">
        <v>13</v>
      </c>
      <c r="C3" s="2">
        <f>'Rolling 5yr Average-TCMD'!C3-'Actual Load at time of CP-ACMD'!C3</f>
        <v>5</v>
      </c>
      <c r="D3" s="2">
        <f>'Rolling 5yr Average-TCMD'!D3-'Actual Load at time of CP-ACMD'!D3</f>
        <v>1.5</v>
      </c>
      <c r="E3" s="2">
        <f>'Rolling 5yr Average-TCMD'!E3-'Actual Load at time of CP-ACMD'!E3</f>
        <v>1.5</v>
      </c>
      <c r="F3" s="6">
        <f>'Rolling 5yr Average-TCMD'!F3-'Actual Load at time of CP-ACMD'!F3</f>
        <v>1</v>
      </c>
      <c r="G3" s="2">
        <f>'Rolling 5yr Average-TCMD'!G3-'Actual Load at time of CP-ACMD'!G3</f>
        <v>2</v>
      </c>
      <c r="H3" s="2">
        <f>'Rolling 5yr Average-TCMD'!H3-'Actual Load at time of CP-ACMD'!H3</f>
        <v>-3.5</v>
      </c>
      <c r="I3" s="2">
        <f>'Rolling 5yr Average-TCMD'!I3-'Actual Load at time of CP-ACMD'!I3</f>
        <v>3.5</v>
      </c>
      <c r="J3" s="2">
        <f>'Rolling 5yr Average-TCMD'!J3-'Actual Load at time of CP-ACMD'!J3</f>
        <v>4</v>
      </c>
      <c r="K3" s="2">
        <f>'Rolling 5yr Average-TCMD'!K3-'Actual Load at time of CP-ACMD'!K3</f>
        <v>3.5</v>
      </c>
      <c r="L3" s="2">
        <f>'Rolling 5yr Average-TCMD'!L3-'Actual Load at time of CP-ACMD'!L3</f>
        <v>-1</v>
      </c>
      <c r="M3" s="2">
        <f>'Rolling 5yr Average-TCMD'!M3-'Actual Load at time of CP-ACMD'!M3</f>
        <v>2</v>
      </c>
      <c r="N3" s="2">
        <f>'Rolling 5yr Average-TCMD'!N3-'Actual Load at time of CP-ACMD'!N3</f>
        <v>-0.5</v>
      </c>
    </row>
    <row r="4" spans="1:14">
      <c r="A4">
        <f t="shared" ref="A4:A6" si="0">A3+1</f>
        <v>2025</v>
      </c>
      <c r="B4" s="3" t="s">
        <v>14</v>
      </c>
      <c r="C4" s="2">
        <f>'Rolling 5yr Average-TCMD'!C4-'Actual Load at time of CP-ACMD'!C4</f>
        <v>-1.333333333333333</v>
      </c>
      <c r="D4" s="2">
        <f>'Rolling 5yr Average-TCMD'!D4-'Actual Load at time of CP-ACMD'!D4</f>
        <v>3</v>
      </c>
      <c r="E4" s="2">
        <f>'Rolling 5yr Average-TCMD'!E4-'Actual Load at time of CP-ACMD'!E4</f>
        <v>-2.3333333333333339</v>
      </c>
      <c r="F4" s="6">
        <f>'Rolling 5yr Average-TCMD'!F4-'Actual Load at time of CP-ACMD'!F4</f>
        <v>2</v>
      </c>
      <c r="G4" s="2">
        <f>'Rolling 5yr Average-TCMD'!G4-'Actual Load at time of CP-ACMD'!G4</f>
        <v>-3.3333333333333339</v>
      </c>
      <c r="H4" s="2">
        <f>'Rolling 5yr Average-TCMD'!H4-'Actual Load at time of CP-ACMD'!H4</f>
        <v>-1</v>
      </c>
      <c r="I4" s="2">
        <f>'Rolling 5yr Average-TCMD'!I4-'Actual Load at time of CP-ACMD'!I4</f>
        <v>2.3333333333333335</v>
      </c>
      <c r="J4" s="2">
        <f>'Rolling 5yr Average-TCMD'!J4-'Actual Load at time of CP-ACMD'!J4</f>
        <v>-2</v>
      </c>
      <c r="K4" s="2">
        <f>'Rolling 5yr Average-TCMD'!K4-'Actual Load at time of CP-ACMD'!K4</f>
        <v>1.6666666666666661</v>
      </c>
      <c r="L4" s="2">
        <f>'Rolling 5yr Average-TCMD'!L4-'Actual Load at time of CP-ACMD'!L4</f>
        <v>-1.3333333333333339</v>
      </c>
      <c r="M4" s="2">
        <f>'Rolling 5yr Average-TCMD'!M4-'Actual Load at time of CP-ACMD'!M4</f>
        <v>0</v>
      </c>
      <c r="N4" s="2">
        <f>'Rolling 5yr Average-TCMD'!N4-'Actual Load at time of CP-ACMD'!N4</f>
        <v>2.3333333333333339</v>
      </c>
    </row>
    <row r="5" spans="1:14">
      <c r="A5">
        <f t="shared" si="0"/>
        <v>2026</v>
      </c>
      <c r="B5" s="3" t="s">
        <v>15</v>
      </c>
      <c r="C5" s="2">
        <f>'Rolling 5yr Average-TCMD'!C5-'Actual Load at time of CP-ACMD'!C5</f>
        <v>0.5</v>
      </c>
      <c r="D5" s="2">
        <f>'Rolling 5yr Average-TCMD'!D5-'Actual Load at time of CP-ACMD'!D5</f>
        <v>3.75</v>
      </c>
      <c r="E5" s="2">
        <f>'Rolling 5yr Average-TCMD'!E5-'Actual Load at time of CP-ACMD'!E5</f>
        <v>-1</v>
      </c>
      <c r="F5" s="6">
        <f>'Rolling 5yr Average-TCMD'!F5-'Actual Load at time of CP-ACMD'!F5</f>
        <v>3</v>
      </c>
      <c r="G5" s="2">
        <f>'Rolling 5yr Average-TCMD'!G5-'Actual Load at time of CP-ACMD'!G5</f>
        <v>6.5</v>
      </c>
      <c r="H5" s="2">
        <f>'Rolling 5yr Average-TCMD'!H5-'Actual Load at time of CP-ACMD'!H5</f>
        <v>-3.75</v>
      </c>
      <c r="I5" s="2">
        <f>'Rolling 5yr Average-TCMD'!I5-'Actual Load at time of CP-ACMD'!I5</f>
        <v>-2</v>
      </c>
      <c r="J5" s="2">
        <f>'Rolling 5yr Average-TCMD'!J5-'Actual Load at time of CP-ACMD'!J5</f>
        <v>0.75</v>
      </c>
      <c r="K5" s="2">
        <f>'Rolling 5yr Average-TCMD'!K5-'Actual Load at time of CP-ACMD'!K5</f>
        <v>0.5</v>
      </c>
      <c r="L5" s="2">
        <f>'Rolling 5yr Average-TCMD'!L5-'Actual Load at time of CP-ACMD'!L5</f>
        <v>-2.5</v>
      </c>
      <c r="M5" s="2">
        <f>'Rolling 5yr Average-TCMD'!M5-'Actual Load at time of CP-ACMD'!M5</f>
        <v>1.5</v>
      </c>
      <c r="N5" s="2">
        <f>'Rolling 5yr Average-TCMD'!N5-'Actual Load at time of CP-ACMD'!N5</f>
        <v>4.75</v>
      </c>
    </row>
    <row r="6" spans="1:14">
      <c r="A6">
        <f t="shared" si="0"/>
        <v>2027</v>
      </c>
      <c r="B6" s="3" t="s">
        <v>16</v>
      </c>
      <c r="C6" s="2">
        <f ca="1">'Rolling 5yr Average-TCMD'!C6-'Actual Load at time of CP-ACMD'!C6</f>
        <v>4.4000000000000004</v>
      </c>
      <c r="D6" s="2">
        <f ca="1">'Rolling 5yr Average-TCMD'!D6-'Actual Load at time of CP-ACMD'!D6</f>
        <v>7</v>
      </c>
      <c r="E6" s="2">
        <f ca="1">'Rolling 5yr Average-TCMD'!E6-'Actual Load at time of CP-ACMD'!E6</f>
        <v>5.6</v>
      </c>
      <c r="F6" s="6">
        <f>'Rolling 5yr Average-TCMD'!F6-'Actual Load at time of CP-ACMD'!F6</f>
        <v>-0.80000000000000071</v>
      </c>
      <c r="G6" s="2">
        <f ca="1">'Rolling 5yr Average-TCMD'!G6-'Actual Load at time of CP-ACMD'!G6</f>
        <v>-1.2000000000000002</v>
      </c>
      <c r="H6" s="2">
        <f ca="1">'Rolling 5yr Average-TCMD'!H6-'Actual Load at time of CP-ACMD'!H6</f>
        <v>4.2</v>
      </c>
      <c r="I6" s="2">
        <f ca="1">'Rolling 5yr Average-TCMD'!I6-'Actual Load at time of CP-ACMD'!I6</f>
        <v>-0.79999999999999982</v>
      </c>
      <c r="J6" s="2">
        <f ca="1">'Rolling 5yr Average-TCMD'!J6-'Actual Load at time of CP-ACMD'!J6</f>
        <v>-2.5999999999999996</v>
      </c>
      <c r="K6" s="2">
        <f ca="1">'Rolling 5yr Average-TCMD'!K6-'Actual Load at time of CP-ACMD'!K6</f>
        <v>8.4</v>
      </c>
      <c r="L6" s="2">
        <f ca="1">'Rolling 5yr Average-TCMD'!L6-'Actual Load at time of CP-ACMD'!L6</f>
        <v>6.8000000000000007</v>
      </c>
      <c r="M6" s="2">
        <f ca="1">'Rolling 5yr Average-TCMD'!M6-'Actual Load at time of CP-ACMD'!M6</f>
        <v>1.2000000000000002</v>
      </c>
      <c r="N6" s="2">
        <f ca="1">'Rolling 5yr Average-TCMD'!N6-'Actual Load at time of CP-ACMD'!N6</f>
        <v>0.59999999999999964</v>
      </c>
    </row>
    <row r="7" spans="1:14">
      <c r="A7">
        <v>2028</v>
      </c>
      <c r="B7" s="3" t="s">
        <v>17</v>
      </c>
      <c r="C7" s="2">
        <f ca="1">'Rolling 5yr Average-TCMD'!C7-'Actual Load at time of CP-ACMD'!C7</f>
        <v>0.79999999999999982</v>
      </c>
      <c r="D7" s="2">
        <f ca="1">'Rolling 5yr Average-TCMD'!D7-'Actual Load at time of CP-ACMD'!D7</f>
        <v>0.40000000000000036</v>
      </c>
      <c r="E7" s="2">
        <f ca="1">'Rolling 5yr Average-TCMD'!E7-'Actual Load at time of CP-ACMD'!E7</f>
        <v>7.4</v>
      </c>
      <c r="F7" s="6">
        <f>'Rolling 5yr Average-TCMD'!F7-'Actual Load at time of CP-ACMD'!F7</f>
        <v>-2.8000000000000007</v>
      </c>
      <c r="G7" s="2">
        <f ca="1">'Rolling 5yr Average-TCMD'!G7-'Actual Load at time of CP-ACMD'!G7</f>
        <v>2.5999999999999996</v>
      </c>
      <c r="H7" s="2">
        <f ca="1">'Rolling 5yr Average-TCMD'!H7-'Actual Load at time of CP-ACMD'!H7</f>
        <v>4.2</v>
      </c>
      <c r="I7" s="2">
        <f ca="1">'Rolling 5yr Average-TCMD'!I7-'Actual Load at time of CP-ACMD'!I7</f>
        <v>1.8</v>
      </c>
      <c r="J7" s="2">
        <f ca="1">'Rolling 5yr Average-TCMD'!J7-'Actual Load at time of CP-ACMD'!J7</f>
        <v>4.5999999999999996</v>
      </c>
      <c r="K7" s="2">
        <f ca="1">'Rolling 5yr Average-TCMD'!K7-'Actual Load at time of CP-ACMD'!K7</f>
        <v>6.2</v>
      </c>
      <c r="L7" s="2">
        <f ca="1">'Rolling 5yr Average-TCMD'!L7-'Actual Load at time of CP-ACMD'!L7</f>
        <v>1.5999999999999996</v>
      </c>
      <c r="M7" s="2">
        <f ca="1">'Rolling 5yr Average-TCMD'!M7-'Actual Load at time of CP-ACMD'!M7</f>
        <v>2</v>
      </c>
      <c r="N7" s="2">
        <f ca="1">'Rolling 5yr Average-TCMD'!N7-'Actual Load at time of CP-ACMD'!N7</f>
        <v>2.4000000000000004</v>
      </c>
    </row>
    <row r="8" spans="1:14">
      <c r="A8">
        <v>2029</v>
      </c>
      <c r="B8" s="3" t="s">
        <v>18</v>
      </c>
      <c r="C8" s="2">
        <f ca="1">'Rolling 5yr Average-TCMD'!C8-'Actual Load at time of CP-ACMD'!C8</f>
        <v>-2</v>
      </c>
      <c r="D8" s="2">
        <f ca="1">'Rolling 5yr Average-TCMD'!D8-'Actual Load at time of CP-ACMD'!D8</f>
        <v>-6.2</v>
      </c>
      <c r="E8" s="2">
        <f ca="1">'Rolling 5yr Average-TCMD'!E8-'Actual Load at time of CP-ACMD'!E8</f>
        <v>2.5999999999999996</v>
      </c>
      <c r="F8" s="6">
        <f>'Rolling 5yr Average-TCMD'!F8-'Actual Load at time of CP-ACMD'!F8</f>
        <v>-0.80000000000000071</v>
      </c>
      <c r="G8" s="2">
        <f ca="1">'Rolling 5yr Average-TCMD'!G8-'Actual Load at time of CP-ACMD'!G8</f>
        <v>0.59999999999999964</v>
      </c>
      <c r="H8" s="2">
        <f ca="1">'Rolling 5yr Average-TCMD'!H8-'Actual Load at time of CP-ACMD'!H8</f>
        <v>2.8</v>
      </c>
      <c r="I8" s="2">
        <f ca="1">'Rolling 5yr Average-TCMD'!I8-'Actual Load at time of CP-ACMD'!I8</f>
        <v>1.8</v>
      </c>
      <c r="J8" s="2">
        <f ca="1">'Rolling 5yr Average-TCMD'!J8-'Actual Load at time of CP-ACMD'!J8</f>
        <v>6.8000000000000007</v>
      </c>
      <c r="K8" s="2">
        <f ca="1">'Rolling 5yr Average-TCMD'!K8-'Actual Load at time of CP-ACMD'!K8</f>
        <v>0.40000000000000036</v>
      </c>
      <c r="L8" s="2">
        <f ca="1">'Rolling 5yr Average-TCMD'!L8-'Actual Load at time of CP-ACMD'!L8</f>
        <v>5.8000000000000007</v>
      </c>
      <c r="M8" s="2">
        <f ca="1">'Rolling 5yr Average-TCMD'!M8-'Actual Load at time of CP-ACMD'!M8</f>
        <v>2.4000000000000004</v>
      </c>
      <c r="N8" s="2">
        <f ca="1">'Rolling 5yr Average-TCMD'!N8-'Actual Load at time of CP-ACMD'!N8</f>
        <v>-2.2000000000000002</v>
      </c>
    </row>
    <row r="9" spans="1:14">
      <c r="A9">
        <v>2030</v>
      </c>
      <c r="B9" s="3" t="s">
        <v>19</v>
      </c>
      <c r="C9" s="2">
        <f ca="1">'Rolling 5yr Average-TCMD'!C9-'Actual Load at time of CP-ACMD'!C9</f>
        <v>-1.4</v>
      </c>
      <c r="D9" s="2">
        <f ca="1">'Rolling 5yr Average-TCMD'!D9-'Actual Load at time of CP-ACMD'!D9</f>
        <v>-0.40000000000000036</v>
      </c>
      <c r="E9" s="2">
        <f ca="1">'Rolling 5yr Average-TCMD'!E9-'Actual Load at time of CP-ACMD'!E9</f>
        <v>3.2</v>
      </c>
      <c r="F9" s="6">
        <f>'Rolling 5yr Average-TCMD'!F9-'Actual Load at time of CP-ACMD'!F9</f>
        <v>1.1999999999999993</v>
      </c>
      <c r="G9" s="2">
        <f ca="1">'Rolling 5yr Average-TCMD'!G9-'Actual Load at time of CP-ACMD'!G9</f>
        <v>-1.5999999999999996</v>
      </c>
      <c r="H9" s="2">
        <f ca="1">'Rolling 5yr Average-TCMD'!H9-'Actual Load at time of CP-ACMD'!H9</f>
        <v>1.8</v>
      </c>
      <c r="I9" s="2">
        <f ca="1">'Rolling 5yr Average-TCMD'!I9-'Actual Load at time of CP-ACMD'!I9</f>
        <v>-2.2000000000000002</v>
      </c>
      <c r="J9" s="2">
        <f ca="1">'Rolling 5yr Average-TCMD'!J9-'Actual Load at time of CP-ACMD'!J9</f>
        <v>-1.8000000000000007</v>
      </c>
      <c r="K9" s="2">
        <f ca="1">'Rolling 5yr Average-TCMD'!K9-'Actual Load at time of CP-ACMD'!K9</f>
        <v>-6.2</v>
      </c>
      <c r="L9" s="2">
        <f ca="1">'Rolling 5yr Average-TCMD'!L9-'Actual Load at time of CP-ACMD'!L9</f>
        <v>5.4</v>
      </c>
      <c r="M9" s="2">
        <f ca="1">'Rolling 5yr Average-TCMD'!M9-'Actual Load at time of CP-ACMD'!M9</f>
        <v>3</v>
      </c>
      <c r="N9" s="2">
        <f ca="1">'Rolling 5yr Average-TCMD'!N9-'Actual Load at time of CP-ACMD'!N9</f>
        <v>1.2000000000000002</v>
      </c>
    </row>
    <row r="10" spans="1:14">
      <c r="A10">
        <v>2031</v>
      </c>
      <c r="B10" s="3" t="s">
        <v>20</v>
      </c>
      <c r="C10" s="2">
        <f ca="1">'Rolling 5yr Average-TCMD'!C10-'Actual Load at time of CP-ACMD'!C10</f>
        <v>1</v>
      </c>
      <c r="D10" s="2">
        <f ca="1">'Rolling 5yr Average-TCMD'!D10-'Actual Load at time of CP-ACMD'!D10</f>
        <v>1.4000000000000004</v>
      </c>
      <c r="E10" s="2">
        <f ca="1">'Rolling 5yr Average-TCMD'!E10-'Actual Load at time of CP-ACMD'!E10</f>
        <v>-4.5999999999999996</v>
      </c>
      <c r="F10" s="6">
        <f>'Rolling 5yr Average-TCMD'!F10-'Actual Load at time of CP-ACMD'!F10</f>
        <v>3.1999999999999993</v>
      </c>
      <c r="G10" s="2">
        <f ca="1">'Rolling 5yr Average-TCMD'!G10-'Actual Load at time of CP-ACMD'!G10</f>
        <v>-1.2000000000000002</v>
      </c>
      <c r="H10" s="2">
        <f ca="1">'Rolling 5yr Average-TCMD'!H10-'Actual Load at time of CP-ACMD'!H10</f>
        <v>0</v>
      </c>
      <c r="I10" s="2">
        <f ca="1">'Rolling 5yr Average-TCMD'!I10-'Actual Load at time of CP-ACMD'!I10</f>
        <v>-0.60000000000000009</v>
      </c>
      <c r="J10" s="2">
        <f ca="1">'Rolling 5yr Average-TCMD'!J10-'Actual Load at time of CP-ACMD'!J10</f>
        <v>4.5999999999999996</v>
      </c>
      <c r="K10" s="2">
        <f ca="1">'Rolling 5yr Average-TCMD'!K10-'Actual Load at time of CP-ACMD'!K10</f>
        <v>2</v>
      </c>
      <c r="L10" s="2">
        <f ca="1">'Rolling 5yr Average-TCMD'!L10-'Actual Load at time of CP-ACMD'!L10</f>
        <v>2.6</v>
      </c>
      <c r="M10" s="2">
        <f ca="1">'Rolling 5yr Average-TCMD'!M10-'Actual Load at time of CP-ACMD'!M10</f>
        <v>-3.6</v>
      </c>
      <c r="N10" s="2">
        <f ca="1">'Rolling 5yr Average-TCMD'!N10-'Actual Load at time of CP-ACMD'!N10</f>
        <v>-2.5999999999999996</v>
      </c>
    </row>
    <row r="11" spans="1:14">
      <c r="A11">
        <v>2032</v>
      </c>
      <c r="B11" s="3" t="s">
        <v>21</v>
      </c>
      <c r="C11" s="2">
        <f>'Rolling 5yr Average-TCMD'!C11-'Actual Load at time of CP-ACMD'!C11</f>
        <v>-0.20000000000000018</v>
      </c>
      <c r="D11" s="2">
        <f>'Rolling 5yr Average-TCMD'!D11-'Actual Load at time of CP-ACMD'!D11</f>
        <v>0.59999999999999964</v>
      </c>
      <c r="E11" s="2">
        <f>'Rolling 5yr Average-TCMD'!E11-'Actual Load at time of CP-ACMD'!E11</f>
        <v>1</v>
      </c>
      <c r="F11" s="6">
        <f>'Rolling 5yr Average-TCMD'!F11-'Actual Load at time of CP-ACMD'!F11</f>
        <v>-0.80000000000000071</v>
      </c>
      <c r="G11" s="2">
        <f>'Rolling 5yr Average-TCMD'!G11-'Actual Load at time of CP-ACMD'!G11</f>
        <v>2.5999999999999996</v>
      </c>
      <c r="H11" s="2">
        <f>'Rolling 5yr Average-TCMD'!H11-'Actual Load at time of CP-ACMD'!H11</f>
        <v>0</v>
      </c>
      <c r="I11" s="2">
        <f>'Rolling 5yr Average-TCMD'!I11-'Actual Load at time of CP-ACMD'!I11</f>
        <v>0.8</v>
      </c>
      <c r="J11" s="2">
        <f>'Rolling 5yr Average-TCMD'!J11-'Actual Load at time of CP-ACMD'!J11</f>
        <v>-1</v>
      </c>
      <c r="K11" s="2">
        <f>'Rolling 5yr Average-TCMD'!K11-'Actual Load at time of CP-ACMD'!K11</f>
        <v>-3.4000000000000004</v>
      </c>
      <c r="L11" s="2">
        <f>'Rolling 5yr Average-TCMD'!L11-'Actual Load at time of CP-ACMD'!L11</f>
        <v>1.2000000000000002</v>
      </c>
      <c r="M11" s="2">
        <f>'Rolling 5yr Average-TCMD'!M11-'Actual Load at time of CP-ACMD'!M11</f>
        <v>-1.6</v>
      </c>
      <c r="N11" s="2">
        <f>'Rolling 5yr Average-TCMD'!N11-'Actual Load at time of CP-ACMD'!N11</f>
        <v>0.20000000000000018</v>
      </c>
    </row>
    <row r="12" spans="1:14">
      <c r="A12">
        <v>2033</v>
      </c>
      <c r="B12" s="3" t="s">
        <v>22</v>
      </c>
      <c r="C12" s="2">
        <f>'Rolling 5yr Average-TCMD'!C12-'Actual Load at time of CP-ACMD'!C12</f>
        <v>-4.5999999999999996</v>
      </c>
      <c r="D12" s="2">
        <f>'Rolling 5yr Average-TCMD'!D12-'Actual Load at time of CP-ACMD'!D12</f>
        <v>-4.8000000000000007</v>
      </c>
      <c r="E12" s="2">
        <f>'Rolling 5yr Average-TCMD'!E12-'Actual Load at time of CP-ACMD'!E12</f>
        <v>-5.8</v>
      </c>
      <c r="F12" s="6">
        <f>'Rolling 5yr Average-TCMD'!F12-'Actual Load at time of CP-ACMD'!F12</f>
        <v>-2.8000000000000007</v>
      </c>
      <c r="G12" s="2">
        <f>'Rolling 5yr Average-TCMD'!G12-'Actual Load at time of CP-ACMD'!G12</f>
        <v>-3.2</v>
      </c>
      <c r="H12" s="2">
        <f>'Rolling 5yr Average-TCMD'!H12-'Actual Load at time of CP-ACMD'!H12</f>
        <v>0</v>
      </c>
      <c r="I12" s="2">
        <f>'Rolling 5yr Average-TCMD'!I12-'Actual Load at time of CP-ACMD'!I12</f>
        <v>-3.8</v>
      </c>
      <c r="J12" s="2">
        <f>'Rolling 5yr Average-TCMD'!J12-'Actual Load at time of CP-ACMD'!J12</f>
        <v>-7.2</v>
      </c>
      <c r="K12" s="2">
        <f>'Rolling 5yr Average-TCMD'!K12-'Actual Load at time of CP-ACMD'!K12</f>
        <v>-7.1999999999999993</v>
      </c>
      <c r="L12" s="2">
        <f>'Rolling 5yr Average-TCMD'!L12-'Actual Load at time of CP-ACMD'!L12</f>
        <v>-6.6</v>
      </c>
      <c r="M12" s="2">
        <f>'Rolling 5yr Average-TCMD'!M12-'Actual Load at time of CP-ACMD'!M12</f>
        <v>-4.4000000000000004</v>
      </c>
      <c r="N12" s="2">
        <f>'Rolling 5yr Average-TCMD'!N12-'Actual Load at time of CP-ACMD'!N12</f>
        <v>-2.5999999999999996</v>
      </c>
    </row>
    <row r="13" spans="1:14">
      <c r="A13">
        <v>2034</v>
      </c>
      <c r="B13" s="3" t="s">
        <v>23</v>
      </c>
      <c r="C13" s="2">
        <f>'Rolling 5yr Average-TCMD'!C13-'Actual Load at time of CP-ACMD'!C13</f>
        <v>-1.4000000000000004</v>
      </c>
      <c r="D13" s="2">
        <f>'Rolling 5yr Average-TCMD'!D13-'Actual Load at time of CP-ACMD'!D13</f>
        <v>-3</v>
      </c>
      <c r="E13" s="2">
        <f>'Rolling 5yr Average-TCMD'!E13-'Actual Load at time of CP-ACMD'!E13</f>
        <v>0.40000000000000036</v>
      </c>
      <c r="F13" s="6">
        <f>'Rolling 5yr Average-TCMD'!F13-'Actual Load at time of CP-ACMD'!F13</f>
        <v>-0.80000000000000071</v>
      </c>
      <c r="G13" s="2">
        <f>'Rolling 5yr Average-TCMD'!G13-'Actual Load at time of CP-ACMD'!G13</f>
        <v>-0.79999999999999982</v>
      </c>
      <c r="H13" s="2">
        <f>'Rolling 5yr Average-TCMD'!H13-'Actual Load at time of CP-ACMD'!H13</f>
        <v>0</v>
      </c>
      <c r="I13" s="2">
        <f>'Rolling 5yr Average-TCMD'!I13-'Actual Load at time of CP-ACMD'!I13</f>
        <v>0</v>
      </c>
      <c r="J13" s="2">
        <f>'Rolling 5yr Average-TCMD'!J13-'Actual Load at time of CP-ACMD'!J13</f>
        <v>3.1999999999999993</v>
      </c>
      <c r="K13" s="2">
        <f>'Rolling 5yr Average-TCMD'!K13-'Actual Load at time of CP-ACMD'!K13</f>
        <v>3.8000000000000007</v>
      </c>
      <c r="L13" s="2">
        <f>'Rolling 5yr Average-TCMD'!L13-'Actual Load at time of CP-ACMD'!L13</f>
        <v>2</v>
      </c>
      <c r="M13" s="2">
        <f>'Rolling 5yr Average-TCMD'!M13-'Actual Load at time of CP-ACMD'!M13</f>
        <v>0.20000000000000018</v>
      </c>
      <c r="N13" s="2">
        <f>'Rolling 5yr Average-TCMD'!N13-'Actual Load at time of CP-ACMD'!N13</f>
        <v>0.20000000000000018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3371fdb-7bec-4d52-adeb-1166efac0023" ContentTypeId="0x010100BC84ACA119491D43B8AEA0C41A758E3B0B06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ariff Document" ma:contentTypeID="0x010100BC84ACA119491D43B8AEA0C41A758E3B0B0600B71823FBBAAF324C862125ECD85A823C" ma:contentTypeVersion="51" ma:contentTypeDescription="" ma:contentTypeScope="" ma:versionID="d32982135025f4277788c602658eed90">
  <xsd:schema xmlns:xsd="http://www.w3.org/2001/XMLSchema" xmlns:xs="http://www.w3.org/2001/XMLSchema" xmlns:p="http://schemas.microsoft.com/office/2006/metadata/properties" xmlns:ns2="bfc2574c-8110-4e43-9784-1ee86de75c6c" xmlns:ns4="650fffc6-a86a-4844-afad-966e4497fd3d" xmlns:ns5="3874a12c-cb96-46c0-a01b-e4d7e8d40966" targetNamespace="http://schemas.microsoft.com/office/2006/metadata/properties" ma:root="true" ma:fieldsID="190e0d48477b3e583190f42dea4addcc" ns2:_="" ns4:_="" ns5:_="">
    <xsd:import namespace="bfc2574c-8110-4e43-9784-1ee86de75c6c"/>
    <xsd:import namespace="650fffc6-a86a-4844-afad-966e4497fd3d"/>
    <xsd:import namespace="3874a12c-cb96-46c0-a01b-e4d7e8d40966"/>
    <xsd:element name="properties">
      <xsd:complexType>
        <xsd:sequence>
          <xsd:element name="documentManagement">
            <xsd:complexType>
              <xsd:all>
                <xsd:element ref="ns2:Activity_x0020_Complete_x0020_Date" minOccurs="0"/>
                <xsd:element ref="ns2:LARA_x0020_Status" minOccurs="0"/>
                <xsd:element ref="ns2:Filing_x0020_Date" minOccurs="0"/>
                <xsd:element ref="ns4:CWRMItemRecordState" minOccurs="0"/>
                <xsd:element ref="ns4:CWRMItemRecordCategory" minOccurs="0"/>
                <xsd:element ref="ns4:e94be97ffb024deb9c3d6d978a059d35" minOccurs="0"/>
                <xsd:element ref="ns2:TaxCatchAll" minOccurs="0"/>
                <xsd:element ref="ns2:TaxCatchAllLabel" minOccurs="0"/>
                <xsd:element ref="ns4:CWRMItemRecordStatus" minOccurs="0"/>
                <xsd:element ref="ns4:CWRMItemRecordDeclaredDate" minOccurs="0"/>
                <xsd:element ref="ns4:CWRMItemRecordVital" minOccurs="0"/>
                <xsd:element ref="ns4:CWRMItemRecordData" minOccurs="0"/>
                <xsd:element ref="ns2:fdc7710463144dc19a8992998d0907da" minOccurs="0"/>
                <xsd:element ref="ns2:_dlc_DocId" minOccurs="0"/>
                <xsd:element ref="ns2:_dlc_DocIdUrl" minOccurs="0"/>
                <xsd:element ref="ns2:_dlc_DocIdPersistId" minOccurs="0"/>
                <xsd:element ref="ns4:CWRMItemUniqueId" minOccurs="0"/>
                <xsd:element ref="ns2:o74c417c636446b2936ee46a3b1dd71d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c2574c-8110-4e43-9784-1ee86de75c6c" elementFormDefault="qualified">
    <xsd:import namespace="http://schemas.microsoft.com/office/2006/documentManagement/types"/>
    <xsd:import namespace="http://schemas.microsoft.com/office/infopath/2007/PartnerControls"/>
    <xsd:element name="Activity_x0020_Complete_x0020_Date" ma:index="2" nillable="true" ma:displayName="Activity Complete Date" ma:description="Example: 02/23/2020" ma:format="DateOnly" ma:internalName="Activity_x0020_Complete_x0020_Date">
      <xsd:simpleType>
        <xsd:restriction base="dms:DateTime"/>
      </xsd:simpleType>
    </xsd:element>
    <xsd:element name="LARA_x0020_Status" ma:index="5" nillable="true" ma:displayName="LARA Status" ma:default="Active" ma:format="Dropdown" ma:internalName="LARA_x0020_Status">
      <xsd:simpleType>
        <xsd:restriction base="dms:Choice">
          <xsd:enumeration value="Active"/>
          <xsd:enumeration value="Inactive"/>
        </xsd:restriction>
      </xsd:simpleType>
    </xsd:element>
    <xsd:element name="Filing_x0020_Date" ma:index="6" nillable="true" ma:displayName="AUC Registration Date" ma:format="DateOnly" ma:internalName="Filing_x0020_Date">
      <xsd:simpleType>
        <xsd:restriction base="dms:DateTime"/>
      </xsd:simpleType>
    </xsd:element>
    <xsd:element name="TaxCatchAll" ma:index="10" nillable="true" ma:displayName="Taxonomy Catch All Column" ma:hidden="true" ma:list="4eea8045-af52-47fb-8910-5a8a46b38f49" ma:internalName="TaxCatchAll" ma:showField="CatchAllData" ma:web="650fffc6-a86a-4844-afad-966e4497f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4eea8045-af52-47fb-8910-5a8a46b38f49" ma:internalName="TaxCatchAllLabel" ma:readOnly="true" ma:showField="CatchAllDataLabel" ma:web="650fffc6-a86a-4844-afad-966e4497f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dc7710463144dc19a8992998d0907da" ma:index="18" nillable="true" ma:taxonomy="true" ma:internalName="fdc7710463144dc19a8992998d0907da" ma:taxonomyFieldName="Confidentiality_x0020_Classification" ma:displayName="Confidentiality Classification" ma:default="1271;#AESO Internal|fe2129cc-e616-4c1e-9a39-b6921e014562" ma:fieldId="{fdc77104-6314-4dc1-9a89-92998d0907da}" ma:sspId="93371fdb-7bec-4d52-adeb-1166efac0023" ma:termSetId="86da2f9e-e637-434c-a22c-d8de590d1e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74c417c636446b2936ee46a3b1dd71d" ma:index="26" nillable="true" ma:taxonomy="true" ma:internalName="o74c417c636446b2936ee46a3b1dd71d" ma:taxonomyFieldName="LARA_x0020_Category0" ma:displayName="LARA Category" ma:default="" ma:fieldId="{874c417c-6364-46b2-936e-e46a3b1dd71d}" ma:sspId="93371fdb-7bec-4d52-adeb-1166efac0023" ma:termSetId="2637bfa7-984d-4f49-a627-0ad3095dbdc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fffc6-a86a-4844-afad-966e4497fd3d" elementFormDefault="qualified">
    <xsd:import namespace="http://schemas.microsoft.com/office/2006/documentManagement/types"/>
    <xsd:import namespace="http://schemas.microsoft.com/office/infopath/2007/PartnerControls"/>
    <xsd:element name="CWRMItemRecordState" ma:index="7" nillable="true" ma:displayName="Record State" ma:description="The current state of this item as it pertains to records management." ma:hidden="true" ma:internalName="CWRMItemRecordState" ma:readOnly="true">
      <xsd:simpleType>
        <xsd:restriction base="dms:Text"/>
      </xsd:simpleType>
    </xsd:element>
    <xsd:element name="CWRMItemRecordCategory" ma:index="8" nillable="true" ma:displayName="Record Category" ma:description="Identifies the current record category for the item." ma:hidden="true" ma:internalName="CWRMItemRecordCategory" ma:readOnly="true">
      <xsd:simpleType>
        <xsd:restriction base="dms:Text"/>
      </xsd:simpleType>
    </xsd:element>
    <xsd:element name="e94be97ffb024deb9c3d6d978a059d35" ma:index="9" nillable="true" ma:taxonomy="true" ma:internalName="CWRMItemRecordClassificationTaxHTField0" ma:taxonomyFieldName="CWRMItemRecordClassification" ma:displayName="Record Classification" ma:fieldId="{e94be97f-fb02-4deb-9c3d-6d978a059d35}" ma:sspId="93371fdb-7bec-4d52-adeb-1166efac0023" ma:termSetId="cdfcbdf3-8cad-4f84-bedc-a05c42b6c0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WRMItemRecordStatus" ma:index="13" nillable="true" ma:displayName="Record Status" ma:description="The current status of this item as it pertains to records management." ma:hidden="true" ma:internalName="CWRMItemRecordStatus" ma:readOnly="true">
      <xsd:simpleType>
        <xsd:restriction base="dms:Text"/>
      </xsd:simpleType>
    </xsd:element>
    <xsd:element name="CWRMItemRecordDeclaredDate" ma:index="14" nillable="true" ma:displayName="Record Declared Date" ma:description="The date and time that the item was declared a record." ma:hidden="true" ma:internalName="CWRMItemRecordDeclaredDate" ma:readOnly="true">
      <xsd:simpleType>
        <xsd:restriction base="dms:DateTime"/>
      </xsd:simpleType>
    </xsd:element>
    <xsd:element name="CWRMItemRecordVital" ma:index="15" nillable="true" ma:displayName="Record Vital" ma:description="Indicates if this item is considered vital to the organization." ma:hidden="true" ma:internalName="CWRMItemRecordVital" ma:readOnly="true">
      <xsd:simpleType>
        <xsd:restriction base="dms:Boolean"/>
      </xsd:simpleType>
    </xsd:element>
    <xsd:element name="CWRMItemRecordData" ma:index="16" nillable="true" ma:displayName="Record Data" ma:description="Contains system specific record data for the item." ma:hidden="true" ma:internalName="CWRMItemRecordData">
      <xsd:simpleType>
        <xsd:restriction base="dms:Note"/>
      </xsd:simpleType>
    </xsd:element>
    <xsd:element name="CWRMItemUniqueId" ma:index="25" nillable="true" ma:displayName="Content ID" ma:description="A universally unique identifier assigned to the item." ma:hidden="true" ma:internalName="CWRMItemUniqu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4a12c-cb96-46c0-a01b-e4d7e8d40966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Collabware CLM Item Unique ID</Name>
    <Synchronization>Synchronous</Synchronization>
    <Type>1</Type>
    <SequenceNumber>1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Unique ID</Name>
    <Synchronization>Synchronous</Synchronization>
    <Type>10002</Type>
    <SequenceNumber>10500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Unique ID</Name>
    <Synchronization>Synchronous</Synchronization>
    <Type>10004</Type>
    <SequenceNumber>10501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Unique ID</Name>
    <Synchronization>Synchronous</Synchronization>
    <Type>10006</Type>
    <SequenceNumber>10502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Processing</Name>
    <Synchronization>Synchronous</Synchronization>
    <Type>10001</Type>
    <SequenceNumber>12000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Processing</Name>
    <Synchronization>Asynchronous</Synchronization>
    <Type>10002</Type>
    <SequenceNumber>12001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Processing</Name>
    <Synchronization>Asynchronous</Synchronization>
    <Type>10004</Type>
    <SequenceNumber>12002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Processing</Name>
    <Synchronization>Synchronous</Synchronization>
    <Type>3</Type>
    <SequenceNumber>10003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Audit</Name>
    <Synchronization>Asynchronous</Synchronization>
    <Type>10001</Type>
    <SequenceNumber>11000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10002</Type>
    <SequenceNumber>11001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10005</Type>
    <SequenceNumber>11002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10006</Type>
    <SequenceNumber>11003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10004</Type>
    <SequenceNumber>11004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Synchronous</Synchronization>
    <Type>3</Type>
    <SequenceNumber>11005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Security</Name>
    <Synchronization>Asynchronous</Synchronization>
    <Type>10002</Type>
    <SequenceNumber>13000</SequenceNumber>
    <Url/>
    <Assembly>Collabware.SharePoint.RecordsManagement, Version=1.0.0.0, Culture=neutral, PublicKeyToken=801662d3f2b71412</Assembly>
    <Class>Collabware.SharePoint.RecordsManagement.ItemSecurityContentTypeReceiver</Class>
    <Data/>
    <Filter/>
  </Receiver>
  <Receiver>
    <Name/>
    <Synchronization>Synchronous</Synchronization>
    <Type>10001</Type>
    <SequenceNumber>1</SequenceNumber>
    <Url/>
    <Assembly>Collabware.SharePoint.RecordsManagement, Version=1.0.0.0, Culture=neutral, PublicKeyToken=801662d3f2b71412</Assembly>
    <Class>Collabware.SharePoint.RecordsManagement.BeforeVerifyItemAddedReceiver</Class>
    <Data/>
    <Filter/>
  </Receiver>
  <Receiver>
    <Name/>
    <Synchronization>Synchronous</Synchronization>
    <Type>10001</Type>
    <SequenceNumber>9000</SequenceNumber>
    <Url/>
    <Assembly>Collabware.SharePoint.RecordsManagement, Version=1.0.0.0, Culture=neutral, PublicKeyToken=801662d3f2b71412</Assembly>
    <Class>Collabware.SharePoint.RecordsManagement.VerifyItemAddedReceiver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WRMItemRecordCategory xmlns="650fffc6-a86a-4844-afad-966e4497fd3d" xsi:nil="true"/>
    <CWRMItemRecordState xmlns="650fffc6-a86a-4844-afad-966e4497fd3d" xsi:nil="true"/>
    <CWRMItemRecordDeclaredDate xmlns="650fffc6-a86a-4844-afad-966e4497fd3d" xsi:nil="true"/>
    <_dlc_DocId xmlns="bfc2574c-8110-4e43-9784-1ee86de75c6c">000000QEDO</_dlc_DocId>
    <e94be97ffb024deb9c3d6d978a059d35 xmlns="650fffc6-a86a-4844-afad-966e4497fd3d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REG-00 - Tariff Development and Application Administration</TermName>
          <TermId xmlns="http://schemas.microsoft.com/office/infopath/2007/PartnerControls">a0f21eea-a95c-4984-bbc5-f702b4b89e29</TermId>
        </TermInfo>
      </Terms>
    </e94be97ffb024deb9c3d6d978a059d35>
    <TaxCatchAll xmlns="bfc2574c-8110-4e43-9784-1ee86de75c6c">
      <Value>1321</Value>
      <Value>1271</Value>
      <Value>1348</Value>
    </TaxCatchAll>
    <CWRMItemRecordVital xmlns="650fffc6-a86a-4844-afad-966e4497fd3d">false</CWRMItemRecordVital>
    <Filing_x0020_Date xmlns="bfc2574c-8110-4e43-9784-1ee86de75c6c" xsi:nil="true"/>
    <CWRMItemRecordStatus xmlns="650fffc6-a86a-4844-afad-966e4497fd3d" xsi:nil="true"/>
    <CWRMItemRecordData xmlns="650fffc6-a86a-4844-afad-966e4497fd3d">&lt;?xml version="1.0" encoding="utf-16"?&gt;&lt;RecordData xmlns:xsd="http://www.w3.org/2001/XMLSchema" xmlns:xsi="http://www.w3.org/2001/XMLSchema-instance" CurrentCategoryId="00000000-0000-0000-0000-000000000000" CurrentPolicyId="00000000-0000-0000-0000-000000000000" CurrentStageId="00000000-0000-0000-0000-000000000000" ExecuteStageImmediately="false" IsMovingPhysical="false" IsProcessing="false" OriginalCreatedDate="0001-01-01T00:00:00" OriginalModifiedDate="0001-01-01T00:00:00" ObsoleteDate="0001-01-01T00:00:00" ForceCrawl="false" DocumentSetSyncCount="0" IsPoliciesProcessed="true"&gt;&lt;LastProcessedStageId&gt;00000000-0000-0000-0000-000000000000&lt;/LastProcessedStageId&gt;&lt;LastProcessedDateValue xsi:type="xsd:dateTime"&gt;0001-01-01T00:00:00&lt;/LastProcessedDateValue&gt;&lt;SupersededInPlaceItems /&gt;&lt;AssociatedAggregates /&gt;&lt;/RecordData&gt;</CWRMItemRecordData>
    <o74c417c636446b2936ee46a3b1dd71d xmlns="bfc2574c-8110-4e43-9784-1ee86de75c6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Stakeholder Engagement</TermName>
          <TermId xmlns="http://schemas.microsoft.com/office/infopath/2007/PartnerControls">6220e8f1-840d-40ad-b65f-2194c8e12464</TermId>
        </TermInfo>
      </Terms>
    </o74c417c636446b2936ee46a3b1dd71d>
    <Activity_x0020_Complete_x0020_Date xmlns="bfc2574c-8110-4e43-9784-1ee86de75c6c" xsi:nil="true"/>
    <_dlc_DocIdUrl xmlns="bfc2574c-8110-4e43-9784-1ee86de75c6c">
      <Url>https://share.aeso.ca/sites/records-law/LARA/_layouts/15/DocIdRedir.aspx?ID=000000QEDO</Url>
      <Description>000000QEDO</Description>
    </_dlc_DocIdUrl>
    <fdc7710463144dc19a8992998d0907da xmlns="bfc2574c-8110-4e43-9784-1ee86de75c6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AESO Internal</TermName>
          <TermId xmlns="http://schemas.microsoft.com/office/infopath/2007/PartnerControls">fe2129cc-e616-4c1e-9a39-b6921e014562</TermId>
        </TermInfo>
      </Terms>
    </fdc7710463144dc19a8992998d0907da>
    <CWRMItemUniqueId xmlns="650fffc6-a86a-4844-afad-966e4497fd3d">000000QEDO</CWRMItemUniqueId>
    <LARA_x0020_Status xmlns="bfc2574c-8110-4e43-9784-1ee86de75c6c">Active</LARA_x0020_Status>
  </documentManagement>
</p:properties>
</file>

<file path=customXml/itemProps1.xml><?xml version="1.0" encoding="utf-8"?>
<ds:datastoreItem xmlns:ds="http://schemas.openxmlformats.org/officeDocument/2006/customXml" ds:itemID="{3D43CCA0-02C8-4A21-AA5C-E22D34950ACA}"/>
</file>

<file path=customXml/itemProps2.xml><?xml version="1.0" encoding="utf-8"?>
<ds:datastoreItem xmlns:ds="http://schemas.openxmlformats.org/officeDocument/2006/customXml" ds:itemID="{DEC17690-C89E-4DC8-94D7-9C818A1FCAA5}"/>
</file>

<file path=customXml/itemProps3.xml><?xml version="1.0" encoding="utf-8"?>
<ds:datastoreItem xmlns:ds="http://schemas.openxmlformats.org/officeDocument/2006/customXml" ds:itemID="{46DD6AC7-867D-40D5-A1B7-99271AB0E718}"/>
</file>

<file path=customXml/itemProps4.xml><?xml version="1.0" encoding="utf-8"?>
<ds:datastoreItem xmlns:ds="http://schemas.openxmlformats.org/officeDocument/2006/customXml" ds:itemID="{BCC1F5E6-C2DA-4175-87AF-8149453F22A4}"/>
</file>

<file path=customXml/itemProps5.xml><?xml version="1.0" encoding="utf-8"?>
<ds:datastoreItem xmlns:ds="http://schemas.openxmlformats.org/officeDocument/2006/customXml" ds:itemID="{725C295C-5173-4CBE-B6D8-4D2449D2CB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Information </vt:lpstr>
      <vt:lpstr>Calculations - 5yr Average 12CP</vt:lpstr>
      <vt:lpstr>Actual Load at time of CP-ACMD</vt:lpstr>
      <vt:lpstr>Rolling 5yr Average-TCMD</vt:lpstr>
      <vt:lpstr>Differences</vt:lpstr>
      <vt:lpstr>'Information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2021-04-13T21:53:52Z</dcterms:created>
  <dcterms:modified xsi:type="dcterms:W3CDTF">2021-04-13T21:54:46Z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4f2212-fe43-4578-b841-38c95b77cb60_Enabled">
    <vt:lpwstr>true</vt:lpwstr>
  </property>
  <property fmtid="{D5CDD505-2E9C-101B-9397-08002B2CF9AE}" pid="3" name="MSIP_Label_854f2212-fe43-4578-b841-38c95b77cb60_Name">
    <vt:lpwstr>AESO Internal Protected Document</vt:lpwstr>
  </property>
  <property fmtid="{D5CDD505-2E9C-101B-9397-08002B2CF9AE}" pid="4" name="MSIP_Label_854f2212-fe43-4578-b841-38c95b77cb60_SetDate">
    <vt:lpwstr>2021-04-09T16:09:19Z</vt:lpwstr>
  </property>
  <property fmtid="{D5CDD505-2E9C-101B-9397-08002B2CF9AE}" pid="5" name="ContentTypeId">
    <vt:lpwstr>0x010100BC84ACA119491D43B8AEA0C41A758E3B0B0600B71823FBBAAF324C862125ECD85A823C</vt:lpwstr>
  </property>
  <property fmtid="{D5CDD505-2E9C-101B-9397-08002B2CF9AE}" pid="6" name="Confidentiality Classification">
    <vt:lpwstr>1271;#AESO Internal|fe2129cc-e616-4c1e-9a39-b6921e014562</vt:lpwstr>
  </property>
  <property fmtid="{D5CDD505-2E9C-101B-9397-08002B2CF9AE}" pid="7" name="MSIP_Label_854f2212-fe43-4578-b841-38c95b77cb60_SiteId">
    <vt:lpwstr>9869aa0d-ebba-4f8c-9399-7dff7665b1d1</vt:lpwstr>
  </property>
  <property fmtid="{D5CDD505-2E9C-101B-9397-08002B2CF9AE}" pid="8" name="MSIP_Label_854f2212-fe43-4578-b841-38c95b77cb60_Method">
    <vt:lpwstr>Standard</vt:lpwstr>
  </property>
  <property fmtid="{D5CDD505-2E9C-101B-9397-08002B2CF9AE}" pid="9" name="MSIP_Label_854f2212-fe43-4578-b841-38c95b77cb60_ActionId">
    <vt:lpwstr>7e972018-af3e-4578-8074-8e206e5ea845</vt:lpwstr>
  </property>
  <property fmtid="{D5CDD505-2E9C-101B-9397-08002B2CF9AE}" pid="10" name="_dlc_DocIdItemGuid">
    <vt:lpwstr>e26d4f84-8747-49f7-bf46-fd31725f0248</vt:lpwstr>
  </property>
  <property fmtid="{D5CDD505-2E9C-101B-9397-08002B2CF9AE}" pid="11" name="CWRMItemRecordClassification">
    <vt:lpwstr>1321;#REG-00 - Tariff Development and Application Administration|a0f21eea-a95c-4984-bbc5-f702b4b89e29</vt:lpwstr>
  </property>
  <property fmtid="{D5CDD505-2E9C-101B-9397-08002B2CF9AE}" pid="12" name="LARA Category0">
    <vt:lpwstr>1348;#Stakeholder Engagement|6220e8f1-840d-40ad-b65f-2194c8e12464</vt:lpwstr>
  </property>
  <property fmtid="{D5CDD505-2E9C-101B-9397-08002B2CF9AE}" pid="13" name="MSIP_Label_854f2212-fe43-4578-b841-38c95b77cb60_ContentBits">
    <vt:lpwstr>0</vt:lpwstr>
  </property>
</Properties>
</file>